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oisey\Downloads\"/>
    </mc:Choice>
  </mc:AlternateContent>
  <xr:revisionPtr revIDLastSave="0" documentId="13_ncr:1_{A7640A7F-3312-41FA-86B3-8A17F0BC2A67}" xr6:coauthVersionLast="40" xr6:coauthVersionMax="40" xr10:uidLastSave="{00000000-0000-0000-0000-000000000000}"/>
  <bookViews>
    <workbookView xWindow="0" yWindow="0" windowWidth="20490" windowHeight="6885" tabRatio="650" activeTab="1" xr2:uid="{57D9B5FB-D5EE-4D2D-933A-2519C8332414}"/>
  </bookViews>
  <sheets>
    <sheet name="Instructions" sheetId="10" r:id="rId1"/>
    <sheet name="Calculator" sheetId="1" r:id="rId2"/>
    <sheet name="Solar RA" sheetId="6" r:id="rId3"/>
    <sheet name="Table II.6" sheetId="5" r:id="rId4"/>
    <sheet name="Table II.8" sheetId="8" r:id="rId5"/>
    <sheet name="Table I.16" sheetId="4" r:id="rId6"/>
    <sheet name="Table I.15" sheetId="3" r:id="rId7"/>
    <sheet name="Comparison" sheetId="9" r:id="rId8"/>
  </sheets>
  <definedNames>
    <definedName name="ExternalData_1" localSheetId="6" hidden="1">'Table I.15'!$A$1:$B$91</definedName>
    <definedName name="ExternalData_1" localSheetId="5" hidden="1">'Table I.16'!$A$1:$C$10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9" l="1"/>
  <c r="B36" i="9"/>
  <c r="B35" i="9"/>
  <c r="B34" i="9"/>
  <c r="B33" i="9"/>
  <c r="B32" i="9"/>
  <c r="B31" i="9"/>
  <c r="B30" i="9"/>
  <c r="B29" i="9"/>
  <c r="F28" i="9"/>
  <c r="B28" i="9"/>
  <c r="B27" i="9"/>
  <c r="F26" i="9"/>
  <c r="B26" i="9"/>
  <c r="B25" i="9"/>
  <c r="F24" i="9"/>
  <c r="B24" i="9"/>
  <c r="B23" i="9"/>
  <c r="F22" i="9"/>
  <c r="B22" i="9"/>
  <c r="B21" i="9"/>
  <c r="F20" i="9"/>
  <c r="B20" i="9"/>
  <c r="F19" i="9"/>
  <c r="B19" i="9"/>
  <c r="F18" i="9"/>
  <c r="F21" i="9" s="1"/>
  <c r="B18" i="9"/>
  <c r="F17" i="9"/>
  <c r="B17" i="9"/>
  <c r="F16" i="9"/>
  <c r="F23" i="9" s="1"/>
  <c r="B16" i="9"/>
  <c r="F15" i="9"/>
  <c r="B15" i="9"/>
  <c r="F14" i="9"/>
  <c r="F25" i="9" s="1"/>
  <c r="B14" i="9"/>
  <c r="C14" i="9" s="1"/>
  <c r="C15" i="9" s="1"/>
  <c r="F13" i="9"/>
  <c r="B13" i="9"/>
  <c r="F12" i="9"/>
  <c r="F27" i="9" s="1"/>
  <c r="B12" i="9"/>
  <c r="C12" i="9" s="1"/>
  <c r="C13" i="9" s="1"/>
  <c r="G11" i="9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F11" i="9"/>
  <c r="C11" i="9"/>
  <c r="B11" i="9"/>
  <c r="G10" i="9"/>
  <c r="C10" i="9"/>
  <c r="G9" i="9"/>
  <c r="F9" i="9" s="1"/>
  <c r="F30" i="9" s="1"/>
  <c r="C9" i="9"/>
  <c r="B9" i="9" s="1"/>
  <c r="G8" i="9"/>
  <c r="C8" i="9"/>
  <c r="G7" i="9"/>
  <c r="F7" i="9" s="1"/>
  <c r="F32" i="9" s="1"/>
  <c r="C7" i="9"/>
  <c r="B7" i="9" s="1"/>
  <c r="G6" i="9"/>
  <c r="C6" i="9"/>
  <c r="G5" i="9"/>
  <c r="F5" i="9" s="1"/>
  <c r="F34" i="9" s="1"/>
  <c r="C5" i="9"/>
  <c r="B5" i="9" s="1"/>
  <c r="G4" i="9"/>
  <c r="C4" i="9"/>
  <c r="G3" i="9"/>
  <c r="F3" i="9" s="1"/>
  <c r="F36" i="9" s="1"/>
  <c r="C3" i="9"/>
  <c r="B3" i="9" s="1"/>
  <c r="G2" i="9"/>
  <c r="F2" i="9"/>
  <c r="F37" i="9" s="1"/>
  <c r="C2" i="9"/>
  <c r="B2" i="9"/>
  <c r="F1" i="1"/>
  <c r="H1" i="1" s="1"/>
  <c r="D12" i="1" s="1"/>
  <c r="E10" i="9" s="1"/>
  <c r="C18" i="9" l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G23" i="9"/>
  <c r="G24" i="9" s="1"/>
  <c r="G25" i="9" s="1"/>
  <c r="G26" i="9" s="1"/>
  <c r="G27" i="9" s="1"/>
  <c r="G28" i="9" s="1"/>
  <c r="C16" i="9"/>
  <c r="C17" i="9" s="1"/>
  <c r="F4" i="9"/>
  <c r="F35" i="9" s="1"/>
  <c r="F8" i="9"/>
  <c r="F31" i="9" s="1"/>
  <c r="F10" i="9"/>
  <c r="F29" i="9" s="1"/>
  <c r="B4" i="9"/>
  <c r="B6" i="9"/>
  <c r="F6" i="9"/>
  <c r="F33" i="9" s="1"/>
  <c r="B8" i="9"/>
  <c r="B10" i="9"/>
  <c r="C366" i="6"/>
  <c r="E366" i="6" s="1"/>
  <c r="F366" i="6" s="1"/>
  <c r="C365" i="6"/>
  <c r="E365" i="6" s="1"/>
  <c r="F365" i="6" s="1"/>
  <c r="C364" i="6"/>
  <c r="E364" i="6" s="1"/>
  <c r="F364" i="6" s="1"/>
  <c r="C363" i="6"/>
  <c r="E363" i="6" s="1"/>
  <c r="F363" i="6" s="1"/>
  <c r="C362" i="6"/>
  <c r="E362" i="6" s="1"/>
  <c r="F362" i="6" s="1"/>
  <c r="E361" i="6"/>
  <c r="F361" i="6" s="1"/>
  <c r="C361" i="6"/>
  <c r="C360" i="6"/>
  <c r="E360" i="6" s="1"/>
  <c r="F360" i="6" s="1"/>
  <c r="C359" i="6"/>
  <c r="E359" i="6" s="1"/>
  <c r="F359" i="6" s="1"/>
  <c r="F358" i="6"/>
  <c r="C358" i="6"/>
  <c r="E358" i="6" s="1"/>
  <c r="C357" i="6"/>
  <c r="E357" i="6" s="1"/>
  <c r="F357" i="6" s="1"/>
  <c r="C356" i="6"/>
  <c r="E356" i="6" s="1"/>
  <c r="F356" i="6" s="1"/>
  <c r="E355" i="6"/>
  <c r="F355" i="6" s="1"/>
  <c r="C355" i="6"/>
  <c r="E354" i="6"/>
  <c r="F354" i="6" s="1"/>
  <c r="C354" i="6"/>
  <c r="E353" i="6"/>
  <c r="F353" i="6" s="1"/>
  <c r="C353" i="6"/>
  <c r="C352" i="6"/>
  <c r="E352" i="6" s="1"/>
  <c r="F352" i="6" s="1"/>
  <c r="F351" i="6"/>
  <c r="C351" i="6"/>
  <c r="E351" i="6" s="1"/>
  <c r="C350" i="6"/>
  <c r="E350" i="6" s="1"/>
  <c r="F350" i="6" s="1"/>
  <c r="C349" i="6"/>
  <c r="E349" i="6" s="1"/>
  <c r="F349" i="6" s="1"/>
  <c r="C348" i="6"/>
  <c r="E348" i="6" s="1"/>
  <c r="F348" i="6" s="1"/>
  <c r="E347" i="6"/>
  <c r="F347" i="6" s="1"/>
  <c r="C347" i="6"/>
  <c r="E346" i="6"/>
  <c r="F346" i="6" s="1"/>
  <c r="C346" i="6"/>
  <c r="E345" i="6"/>
  <c r="F345" i="6" s="1"/>
  <c r="C345" i="6"/>
  <c r="C344" i="6"/>
  <c r="E344" i="6" s="1"/>
  <c r="F344" i="6" s="1"/>
  <c r="F343" i="6"/>
  <c r="C343" i="6"/>
  <c r="E343" i="6" s="1"/>
  <c r="C342" i="6"/>
  <c r="E342" i="6" s="1"/>
  <c r="F342" i="6" s="1"/>
  <c r="C341" i="6"/>
  <c r="E341" i="6" s="1"/>
  <c r="F341" i="6" s="1"/>
  <c r="C340" i="6"/>
  <c r="E340" i="6" s="1"/>
  <c r="F340" i="6" s="1"/>
  <c r="E339" i="6"/>
  <c r="F339" i="6" s="1"/>
  <c r="C339" i="6"/>
  <c r="E338" i="6"/>
  <c r="F338" i="6" s="1"/>
  <c r="C338" i="6"/>
  <c r="E337" i="6"/>
  <c r="F337" i="6" s="1"/>
  <c r="C337" i="6"/>
  <c r="C336" i="6"/>
  <c r="E336" i="6" s="1"/>
  <c r="F336" i="6" s="1"/>
  <c r="C335" i="6"/>
  <c r="E335" i="6" s="1"/>
  <c r="F335" i="6" s="1"/>
  <c r="F334" i="6"/>
  <c r="C334" i="6"/>
  <c r="E334" i="6" s="1"/>
  <c r="C333" i="6"/>
  <c r="E333" i="6" s="1"/>
  <c r="F333" i="6" s="1"/>
  <c r="C332" i="6"/>
  <c r="E332" i="6" s="1"/>
  <c r="F332" i="6" s="1"/>
  <c r="E331" i="6"/>
  <c r="F331" i="6" s="1"/>
  <c r="C331" i="6"/>
  <c r="E330" i="6"/>
  <c r="F330" i="6" s="1"/>
  <c r="C330" i="6"/>
  <c r="E329" i="6"/>
  <c r="F329" i="6" s="1"/>
  <c r="C329" i="6"/>
  <c r="C328" i="6"/>
  <c r="E328" i="6" s="1"/>
  <c r="F328" i="6" s="1"/>
  <c r="C327" i="6"/>
  <c r="E327" i="6" s="1"/>
  <c r="F327" i="6" s="1"/>
  <c r="C326" i="6"/>
  <c r="E326" i="6" s="1"/>
  <c r="F326" i="6" s="1"/>
  <c r="C325" i="6"/>
  <c r="E325" i="6" s="1"/>
  <c r="F325" i="6" s="1"/>
  <c r="C324" i="6"/>
  <c r="E324" i="6" s="1"/>
  <c r="F324" i="6" s="1"/>
  <c r="E323" i="6"/>
  <c r="F323" i="6" s="1"/>
  <c r="C323" i="6"/>
  <c r="E322" i="6"/>
  <c r="F322" i="6" s="1"/>
  <c r="C322" i="6"/>
  <c r="E321" i="6"/>
  <c r="F321" i="6" s="1"/>
  <c r="C321" i="6"/>
  <c r="C320" i="6"/>
  <c r="E320" i="6" s="1"/>
  <c r="F320" i="6" s="1"/>
  <c r="F319" i="6"/>
  <c r="C319" i="6"/>
  <c r="E319" i="6" s="1"/>
  <c r="C318" i="6"/>
  <c r="E318" i="6" s="1"/>
  <c r="F318" i="6" s="1"/>
  <c r="C317" i="6"/>
  <c r="E317" i="6" s="1"/>
  <c r="F317" i="6" s="1"/>
  <c r="C316" i="6"/>
  <c r="E316" i="6" s="1"/>
  <c r="F316" i="6" s="1"/>
  <c r="E315" i="6"/>
  <c r="F315" i="6" s="1"/>
  <c r="C315" i="6"/>
  <c r="E314" i="6"/>
  <c r="F314" i="6" s="1"/>
  <c r="C314" i="6"/>
  <c r="E313" i="6"/>
  <c r="F313" i="6" s="1"/>
  <c r="C313" i="6"/>
  <c r="C312" i="6"/>
  <c r="E312" i="6" s="1"/>
  <c r="F312" i="6" s="1"/>
  <c r="C311" i="6"/>
  <c r="E311" i="6" s="1"/>
  <c r="F311" i="6" s="1"/>
  <c r="F310" i="6"/>
  <c r="C310" i="6"/>
  <c r="E310" i="6" s="1"/>
  <c r="C309" i="6"/>
  <c r="E309" i="6" s="1"/>
  <c r="F309" i="6" s="1"/>
  <c r="C308" i="6"/>
  <c r="E308" i="6" s="1"/>
  <c r="F308" i="6" s="1"/>
  <c r="E307" i="6"/>
  <c r="F307" i="6" s="1"/>
  <c r="C307" i="6"/>
  <c r="E306" i="6"/>
  <c r="F306" i="6" s="1"/>
  <c r="C306" i="6"/>
  <c r="E305" i="6"/>
  <c r="F305" i="6" s="1"/>
  <c r="C305" i="6"/>
  <c r="C304" i="6"/>
  <c r="E304" i="6" s="1"/>
  <c r="F304" i="6" s="1"/>
  <c r="C303" i="6"/>
  <c r="E303" i="6" s="1"/>
  <c r="F303" i="6" s="1"/>
  <c r="F302" i="6"/>
  <c r="C302" i="6"/>
  <c r="E302" i="6" s="1"/>
  <c r="C301" i="6"/>
  <c r="E301" i="6" s="1"/>
  <c r="F301" i="6" s="1"/>
  <c r="C300" i="6"/>
  <c r="E300" i="6" s="1"/>
  <c r="F300" i="6" s="1"/>
  <c r="E299" i="6"/>
  <c r="F299" i="6" s="1"/>
  <c r="C299" i="6"/>
  <c r="E298" i="6"/>
  <c r="F298" i="6" s="1"/>
  <c r="C298" i="6"/>
  <c r="E297" i="6"/>
  <c r="F297" i="6" s="1"/>
  <c r="C297" i="6"/>
  <c r="C296" i="6"/>
  <c r="E296" i="6" s="1"/>
  <c r="F296" i="6" s="1"/>
  <c r="F295" i="6"/>
  <c r="C295" i="6"/>
  <c r="E295" i="6" s="1"/>
  <c r="F294" i="6"/>
  <c r="C294" i="6"/>
  <c r="E294" i="6" s="1"/>
  <c r="C293" i="6"/>
  <c r="E293" i="6" s="1"/>
  <c r="F293" i="6" s="1"/>
  <c r="C292" i="6"/>
  <c r="E292" i="6" s="1"/>
  <c r="F292" i="6" s="1"/>
  <c r="E291" i="6"/>
  <c r="F291" i="6" s="1"/>
  <c r="C291" i="6"/>
  <c r="E290" i="6"/>
  <c r="F290" i="6" s="1"/>
  <c r="C290" i="6"/>
  <c r="E289" i="6"/>
  <c r="F289" i="6" s="1"/>
  <c r="C289" i="6"/>
  <c r="C288" i="6"/>
  <c r="E288" i="6" s="1"/>
  <c r="F288" i="6" s="1"/>
  <c r="F287" i="6"/>
  <c r="C287" i="6"/>
  <c r="E287" i="6" s="1"/>
  <c r="C286" i="6"/>
  <c r="E286" i="6" s="1"/>
  <c r="F286" i="6" s="1"/>
  <c r="C285" i="6"/>
  <c r="E285" i="6" s="1"/>
  <c r="F285" i="6" s="1"/>
  <c r="C284" i="6"/>
  <c r="E284" i="6" s="1"/>
  <c r="F284" i="6" s="1"/>
  <c r="E283" i="6"/>
  <c r="F283" i="6" s="1"/>
  <c r="C283" i="6"/>
  <c r="E282" i="6"/>
  <c r="F282" i="6" s="1"/>
  <c r="C282" i="6"/>
  <c r="E281" i="6"/>
  <c r="F281" i="6" s="1"/>
  <c r="C281" i="6"/>
  <c r="C280" i="6"/>
  <c r="E280" i="6" s="1"/>
  <c r="F280" i="6" s="1"/>
  <c r="F279" i="6"/>
  <c r="C279" i="6"/>
  <c r="E279" i="6" s="1"/>
  <c r="C278" i="6"/>
  <c r="E278" i="6" s="1"/>
  <c r="F278" i="6" s="1"/>
  <c r="C277" i="6"/>
  <c r="E277" i="6" s="1"/>
  <c r="F277" i="6" s="1"/>
  <c r="C276" i="6"/>
  <c r="E276" i="6" s="1"/>
  <c r="F276" i="6" s="1"/>
  <c r="E275" i="6"/>
  <c r="F275" i="6" s="1"/>
  <c r="C275" i="6"/>
  <c r="E274" i="6"/>
  <c r="F274" i="6" s="1"/>
  <c r="C274" i="6"/>
  <c r="E273" i="6"/>
  <c r="F273" i="6" s="1"/>
  <c r="C273" i="6"/>
  <c r="C272" i="6"/>
  <c r="E272" i="6" s="1"/>
  <c r="F272" i="6" s="1"/>
  <c r="C271" i="6"/>
  <c r="E271" i="6" s="1"/>
  <c r="F271" i="6" s="1"/>
  <c r="F270" i="6"/>
  <c r="C270" i="6"/>
  <c r="E270" i="6" s="1"/>
  <c r="C269" i="6"/>
  <c r="E269" i="6" s="1"/>
  <c r="F269" i="6" s="1"/>
  <c r="C268" i="6"/>
  <c r="E268" i="6" s="1"/>
  <c r="F268" i="6" s="1"/>
  <c r="E267" i="6"/>
  <c r="F267" i="6" s="1"/>
  <c r="C267" i="6"/>
  <c r="E266" i="6"/>
  <c r="F266" i="6" s="1"/>
  <c r="C266" i="6"/>
  <c r="E265" i="6"/>
  <c r="F265" i="6" s="1"/>
  <c r="C265" i="6"/>
  <c r="C264" i="6"/>
  <c r="E264" i="6" s="1"/>
  <c r="F264" i="6" s="1"/>
  <c r="C263" i="6"/>
  <c r="E263" i="6" s="1"/>
  <c r="F263" i="6" s="1"/>
  <c r="C262" i="6"/>
  <c r="E262" i="6" s="1"/>
  <c r="F262" i="6" s="1"/>
  <c r="C261" i="6"/>
  <c r="E261" i="6" s="1"/>
  <c r="F261" i="6" s="1"/>
  <c r="C260" i="6"/>
  <c r="E260" i="6" s="1"/>
  <c r="F260" i="6" s="1"/>
  <c r="E259" i="6"/>
  <c r="F259" i="6" s="1"/>
  <c r="C259" i="6"/>
  <c r="E258" i="6"/>
  <c r="F258" i="6" s="1"/>
  <c r="C258" i="6"/>
  <c r="E257" i="6"/>
  <c r="F257" i="6" s="1"/>
  <c r="C257" i="6"/>
  <c r="C256" i="6"/>
  <c r="E256" i="6" s="1"/>
  <c r="F256" i="6" s="1"/>
  <c r="F255" i="6"/>
  <c r="C255" i="6"/>
  <c r="E255" i="6" s="1"/>
  <c r="C254" i="6"/>
  <c r="E254" i="6" s="1"/>
  <c r="F254" i="6" s="1"/>
  <c r="C253" i="6"/>
  <c r="E253" i="6" s="1"/>
  <c r="F253" i="6" s="1"/>
  <c r="C252" i="6"/>
  <c r="E252" i="6" s="1"/>
  <c r="F252" i="6" s="1"/>
  <c r="E251" i="6"/>
  <c r="F251" i="6" s="1"/>
  <c r="C251" i="6"/>
  <c r="E250" i="6"/>
  <c r="F250" i="6" s="1"/>
  <c r="C250" i="6"/>
  <c r="E249" i="6"/>
  <c r="F249" i="6" s="1"/>
  <c r="C249" i="6"/>
  <c r="C248" i="6"/>
  <c r="E248" i="6" s="1"/>
  <c r="F248" i="6" s="1"/>
  <c r="F247" i="6"/>
  <c r="C247" i="6"/>
  <c r="E247" i="6" s="1"/>
  <c r="F246" i="6"/>
  <c r="C246" i="6"/>
  <c r="E246" i="6" s="1"/>
  <c r="C245" i="6"/>
  <c r="E245" i="6" s="1"/>
  <c r="F245" i="6" s="1"/>
  <c r="C244" i="6"/>
  <c r="E244" i="6" s="1"/>
  <c r="F244" i="6" s="1"/>
  <c r="E243" i="6"/>
  <c r="F243" i="6" s="1"/>
  <c r="C243" i="6"/>
  <c r="E242" i="6"/>
  <c r="F242" i="6" s="1"/>
  <c r="C242" i="6"/>
  <c r="E241" i="6"/>
  <c r="F241" i="6" s="1"/>
  <c r="C241" i="6"/>
  <c r="C240" i="6"/>
  <c r="E240" i="6" s="1"/>
  <c r="F240" i="6" s="1"/>
  <c r="C239" i="6"/>
  <c r="E239" i="6" s="1"/>
  <c r="F239" i="6" s="1"/>
  <c r="F238" i="6"/>
  <c r="C238" i="6"/>
  <c r="E238" i="6" s="1"/>
  <c r="C237" i="6"/>
  <c r="E237" i="6" s="1"/>
  <c r="F237" i="6" s="1"/>
  <c r="C236" i="6"/>
  <c r="E236" i="6" s="1"/>
  <c r="F236" i="6" s="1"/>
  <c r="E235" i="6"/>
  <c r="F235" i="6" s="1"/>
  <c r="C235" i="6"/>
  <c r="E234" i="6"/>
  <c r="F234" i="6" s="1"/>
  <c r="C234" i="6"/>
  <c r="E233" i="6"/>
  <c r="F233" i="6" s="1"/>
  <c r="C233" i="6"/>
  <c r="C232" i="6"/>
  <c r="E232" i="6" s="1"/>
  <c r="F232" i="6" s="1"/>
  <c r="F231" i="6"/>
  <c r="C231" i="6"/>
  <c r="E231" i="6" s="1"/>
  <c r="F230" i="6"/>
  <c r="C230" i="6"/>
  <c r="E230" i="6" s="1"/>
  <c r="C229" i="6"/>
  <c r="E229" i="6" s="1"/>
  <c r="F229" i="6" s="1"/>
  <c r="C228" i="6"/>
  <c r="E228" i="6" s="1"/>
  <c r="F228" i="6" s="1"/>
  <c r="E227" i="6"/>
  <c r="F227" i="6" s="1"/>
  <c r="C227" i="6"/>
  <c r="E226" i="6"/>
  <c r="F226" i="6" s="1"/>
  <c r="C226" i="6"/>
  <c r="E225" i="6"/>
  <c r="F225" i="6" s="1"/>
  <c r="C225" i="6"/>
  <c r="C224" i="6"/>
  <c r="E224" i="6" s="1"/>
  <c r="F224" i="6" s="1"/>
  <c r="F223" i="6"/>
  <c r="C223" i="6"/>
  <c r="E223" i="6" s="1"/>
  <c r="C222" i="6"/>
  <c r="E222" i="6" s="1"/>
  <c r="F222" i="6" s="1"/>
  <c r="C221" i="6"/>
  <c r="E221" i="6" s="1"/>
  <c r="F221" i="6" s="1"/>
  <c r="C220" i="6"/>
  <c r="E220" i="6" s="1"/>
  <c r="F220" i="6" s="1"/>
  <c r="E219" i="6"/>
  <c r="F219" i="6" s="1"/>
  <c r="C219" i="6"/>
  <c r="E218" i="6"/>
  <c r="F218" i="6" s="1"/>
  <c r="C218" i="6"/>
  <c r="E217" i="6"/>
  <c r="F217" i="6" s="1"/>
  <c r="C217" i="6"/>
  <c r="C216" i="6"/>
  <c r="E216" i="6" s="1"/>
  <c r="F216" i="6" s="1"/>
  <c r="F215" i="6"/>
  <c r="C215" i="6"/>
  <c r="E215" i="6" s="1"/>
  <c r="C214" i="6"/>
  <c r="E214" i="6" s="1"/>
  <c r="F214" i="6" s="1"/>
  <c r="C213" i="6"/>
  <c r="E213" i="6" s="1"/>
  <c r="F213" i="6" s="1"/>
  <c r="C212" i="6"/>
  <c r="E212" i="6" s="1"/>
  <c r="F212" i="6" s="1"/>
  <c r="E211" i="6"/>
  <c r="F211" i="6" s="1"/>
  <c r="C211" i="6"/>
  <c r="E210" i="6"/>
  <c r="F210" i="6" s="1"/>
  <c r="C210" i="6"/>
  <c r="E209" i="6"/>
  <c r="F209" i="6" s="1"/>
  <c r="C209" i="6"/>
  <c r="C208" i="6"/>
  <c r="E208" i="6" s="1"/>
  <c r="F208" i="6" s="1"/>
  <c r="C207" i="6"/>
  <c r="E207" i="6" s="1"/>
  <c r="F207" i="6" s="1"/>
  <c r="F206" i="6"/>
  <c r="C206" i="6"/>
  <c r="E206" i="6" s="1"/>
  <c r="C205" i="6"/>
  <c r="E205" i="6" s="1"/>
  <c r="F205" i="6" s="1"/>
  <c r="C204" i="6"/>
  <c r="E204" i="6" s="1"/>
  <c r="F204" i="6" s="1"/>
  <c r="E203" i="6"/>
  <c r="F203" i="6" s="1"/>
  <c r="C203" i="6"/>
  <c r="E202" i="6"/>
  <c r="F202" i="6" s="1"/>
  <c r="C202" i="6"/>
  <c r="E201" i="6"/>
  <c r="F201" i="6" s="1"/>
  <c r="C201" i="6"/>
  <c r="C200" i="6"/>
  <c r="E200" i="6" s="1"/>
  <c r="F200" i="6" s="1"/>
  <c r="C199" i="6"/>
  <c r="E199" i="6" s="1"/>
  <c r="F199" i="6" s="1"/>
  <c r="C198" i="6"/>
  <c r="E198" i="6" s="1"/>
  <c r="F198" i="6" s="1"/>
  <c r="C197" i="6"/>
  <c r="E197" i="6" s="1"/>
  <c r="F197" i="6" s="1"/>
  <c r="C196" i="6"/>
  <c r="E196" i="6" s="1"/>
  <c r="F196" i="6" s="1"/>
  <c r="E195" i="6"/>
  <c r="F195" i="6" s="1"/>
  <c r="C195" i="6"/>
  <c r="E194" i="6"/>
  <c r="F194" i="6" s="1"/>
  <c r="C194" i="6"/>
  <c r="E193" i="6"/>
  <c r="F193" i="6" s="1"/>
  <c r="C193" i="6"/>
  <c r="C192" i="6"/>
  <c r="E192" i="6" s="1"/>
  <c r="F192" i="6" s="1"/>
  <c r="F191" i="6"/>
  <c r="C191" i="6"/>
  <c r="E191" i="6" s="1"/>
  <c r="C190" i="6"/>
  <c r="E190" i="6" s="1"/>
  <c r="F190" i="6" s="1"/>
  <c r="C189" i="6"/>
  <c r="E189" i="6" s="1"/>
  <c r="F189" i="6" s="1"/>
  <c r="C188" i="6"/>
  <c r="E188" i="6" s="1"/>
  <c r="F188" i="6" s="1"/>
  <c r="E187" i="6"/>
  <c r="F187" i="6" s="1"/>
  <c r="C187" i="6"/>
  <c r="E186" i="6"/>
  <c r="F186" i="6" s="1"/>
  <c r="C186" i="6"/>
  <c r="E185" i="6"/>
  <c r="F185" i="6" s="1"/>
  <c r="C185" i="6"/>
  <c r="F184" i="6"/>
  <c r="E184" i="6"/>
  <c r="C184" i="6"/>
  <c r="F183" i="6"/>
  <c r="C183" i="6"/>
  <c r="E183" i="6" s="1"/>
  <c r="F182" i="6"/>
  <c r="C182" i="6"/>
  <c r="E182" i="6" s="1"/>
  <c r="C181" i="6"/>
  <c r="E181" i="6" s="1"/>
  <c r="F181" i="6" s="1"/>
  <c r="C180" i="6"/>
  <c r="E180" i="6" s="1"/>
  <c r="F180" i="6" s="1"/>
  <c r="E179" i="6"/>
  <c r="F179" i="6" s="1"/>
  <c r="C179" i="6"/>
  <c r="E178" i="6"/>
  <c r="F178" i="6" s="1"/>
  <c r="C178" i="6"/>
  <c r="E177" i="6"/>
  <c r="F177" i="6" s="1"/>
  <c r="C177" i="6"/>
  <c r="F176" i="6"/>
  <c r="E176" i="6"/>
  <c r="C176" i="6"/>
  <c r="C175" i="6"/>
  <c r="E175" i="6" s="1"/>
  <c r="F175" i="6" s="1"/>
  <c r="F174" i="6"/>
  <c r="C174" i="6"/>
  <c r="E174" i="6" s="1"/>
  <c r="C173" i="6"/>
  <c r="E173" i="6" s="1"/>
  <c r="F173" i="6" s="1"/>
  <c r="C172" i="6"/>
  <c r="E172" i="6" s="1"/>
  <c r="F172" i="6" s="1"/>
  <c r="E171" i="6"/>
  <c r="F171" i="6" s="1"/>
  <c r="C171" i="6"/>
  <c r="E170" i="6"/>
  <c r="F170" i="6" s="1"/>
  <c r="C170" i="6"/>
  <c r="E169" i="6"/>
  <c r="F169" i="6" s="1"/>
  <c r="C169" i="6"/>
  <c r="F168" i="6"/>
  <c r="E168" i="6"/>
  <c r="C168" i="6"/>
  <c r="C167" i="6"/>
  <c r="E167" i="6" s="1"/>
  <c r="F167" i="6" s="1"/>
  <c r="F166" i="6"/>
  <c r="C166" i="6"/>
  <c r="E166" i="6" s="1"/>
  <c r="C165" i="6"/>
  <c r="E165" i="6" s="1"/>
  <c r="F165" i="6" s="1"/>
  <c r="C164" i="6"/>
  <c r="E164" i="6" s="1"/>
  <c r="F164" i="6" s="1"/>
  <c r="E163" i="6"/>
  <c r="F163" i="6" s="1"/>
  <c r="C163" i="6"/>
  <c r="E162" i="6"/>
  <c r="F162" i="6" s="1"/>
  <c r="C162" i="6"/>
  <c r="E161" i="6"/>
  <c r="F161" i="6" s="1"/>
  <c r="C161" i="6"/>
  <c r="F160" i="6"/>
  <c r="E160" i="6"/>
  <c r="C160" i="6"/>
  <c r="F159" i="6"/>
  <c r="C159" i="6"/>
  <c r="E159" i="6" s="1"/>
  <c r="C158" i="6"/>
  <c r="E158" i="6" s="1"/>
  <c r="F158" i="6" s="1"/>
  <c r="C157" i="6"/>
  <c r="E157" i="6" s="1"/>
  <c r="F157" i="6" s="1"/>
  <c r="C156" i="6"/>
  <c r="E156" i="6" s="1"/>
  <c r="F156" i="6" s="1"/>
  <c r="E155" i="6"/>
  <c r="F155" i="6" s="1"/>
  <c r="C155" i="6"/>
  <c r="E154" i="6"/>
  <c r="F154" i="6" s="1"/>
  <c r="C154" i="6"/>
  <c r="E153" i="6"/>
  <c r="F153" i="6" s="1"/>
  <c r="C153" i="6"/>
  <c r="F152" i="6"/>
  <c r="E152" i="6"/>
  <c r="C152" i="6"/>
  <c r="C151" i="6"/>
  <c r="E151" i="6" s="1"/>
  <c r="F151" i="6" s="1"/>
  <c r="F150" i="6"/>
  <c r="C150" i="6"/>
  <c r="E150" i="6" s="1"/>
  <c r="C149" i="6"/>
  <c r="E149" i="6" s="1"/>
  <c r="F149" i="6" s="1"/>
  <c r="C148" i="6"/>
  <c r="E148" i="6" s="1"/>
  <c r="F148" i="6" s="1"/>
  <c r="E147" i="6"/>
  <c r="F147" i="6" s="1"/>
  <c r="C147" i="6"/>
  <c r="E146" i="6"/>
  <c r="F146" i="6" s="1"/>
  <c r="C146" i="6"/>
  <c r="E145" i="6"/>
  <c r="F145" i="6" s="1"/>
  <c r="C145" i="6"/>
  <c r="F144" i="6"/>
  <c r="E144" i="6"/>
  <c r="C144" i="6"/>
  <c r="C143" i="6"/>
  <c r="E143" i="6" s="1"/>
  <c r="F143" i="6" s="1"/>
  <c r="F142" i="6"/>
  <c r="C142" i="6"/>
  <c r="E142" i="6" s="1"/>
  <c r="C141" i="6"/>
  <c r="E141" i="6" s="1"/>
  <c r="F141" i="6" s="1"/>
  <c r="C140" i="6"/>
  <c r="E140" i="6" s="1"/>
  <c r="F140" i="6" s="1"/>
  <c r="E139" i="6"/>
  <c r="F139" i="6" s="1"/>
  <c r="C139" i="6"/>
  <c r="E138" i="6"/>
  <c r="F138" i="6" s="1"/>
  <c r="C138" i="6"/>
  <c r="E137" i="6"/>
  <c r="F137" i="6" s="1"/>
  <c r="C137" i="6"/>
  <c r="F136" i="6"/>
  <c r="E136" i="6"/>
  <c r="C136" i="6"/>
  <c r="F135" i="6"/>
  <c r="C135" i="6"/>
  <c r="E135" i="6" s="1"/>
  <c r="C134" i="6"/>
  <c r="E134" i="6" s="1"/>
  <c r="F134" i="6" s="1"/>
  <c r="C133" i="6"/>
  <c r="E133" i="6" s="1"/>
  <c r="F133" i="6" s="1"/>
  <c r="C132" i="6"/>
  <c r="E132" i="6" s="1"/>
  <c r="F132" i="6" s="1"/>
  <c r="E131" i="6"/>
  <c r="F131" i="6" s="1"/>
  <c r="C131" i="6"/>
  <c r="E130" i="6"/>
  <c r="F130" i="6" s="1"/>
  <c r="C130" i="6"/>
  <c r="E129" i="6"/>
  <c r="F129" i="6" s="1"/>
  <c r="C129" i="6"/>
  <c r="F128" i="6"/>
  <c r="E128" i="6"/>
  <c r="C128" i="6"/>
  <c r="F127" i="6"/>
  <c r="C127" i="6"/>
  <c r="E127" i="6" s="1"/>
  <c r="C126" i="6"/>
  <c r="E126" i="6" s="1"/>
  <c r="F126" i="6" s="1"/>
  <c r="C125" i="6"/>
  <c r="E125" i="6" s="1"/>
  <c r="F125" i="6" s="1"/>
  <c r="C124" i="6"/>
  <c r="E124" i="6" s="1"/>
  <c r="F124" i="6" s="1"/>
  <c r="E123" i="6"/>
  <c r="F123" i="6" s="1"/>
  <c r="C123" i="6"/>
  <c r="E122" i="6"/>
  <c r="F122" i="6" s="1"/>
  <c r="C122" i="6"/>
  <c r="E121" i="6"/>
  <c r="F121" i="6" s="1"/>
  <c r="C121" i="6"/>
  <c r="F120" i="6"/>
  <c r="E120" i="6"/>
  <c r="C120" i="6"/>
  <c r="F119" i="6"/>
  <c r="C119" i="6"/>
  <c r="E119" i="6" s="1"/>
  <c r="F118" i="6"/>
  <c r="C118" i="6"/>
  <c r="E118" i="6" s="1"/>
  <c r="C117" i="6"/>
  <c r="E117" i="6" s="1"/>
  <c r="F117" i="6" s="1"/>
  <c r="C116" i="6"/>
  <c r="E116" i="6" s="1"/>
  <c r="F116" i="6" s="1"/>
  <c r="E115" i="6"/>
  <c r="F115" i="6" s="1"/>
  <c r="C115" i="6"/>
  <c r="E114" i="6"/>
  <c r="F114" i="6" s="1"/>
  <c r="C114" i="6"/>
  <c r="E113" i="6"/>
  <c r="F113" i="6" s="1"/>
  <c r="C113" i="6"/>
  <c r="F112" i="6"/>
  <c r="E112" i="6"/>
  <c r="C112" i="6"/>
  <c r="C111" i="6"/>
  <c r="E111" i="6" s="1"/>
  <c r="F111" i="6" s="1"/>
  <c r="F110" i="6"/>
  <c r="C110" i="6"/>
  <c r="E110" i="6" s="1"/>
  <c r="C109" i="6"/>
  <c r="E109" i="6" s="1"/>
  <c r="F109" i="6" s="1"/>
  <c r="C108" i="6"/>
  <c r="E108" i="6" s="1"/>
  <c r="F108" i="6" s="1"/>
  <c r="E107" i="6"/>
  <c r="F107" i="6" s="1"/>
  <c r="C107" i="6"/>
  <c r="E106" i="6"/>
  <c r="F106" i="6" s="1"/>
  <c r="C106" i="6"/>
  <c r="E105" i="6"/>
  <c r="F105" i="6" s="1"/>
  <c r="C105" i="6"/>
  <c r="F104" i="6"/>
  <c r="E104" i="6"/>
  <c r="C104" i="6"/>
  <c r="C103" i="6"/>
  <c r="E103" i="6" s="1"/>
  <c r="F103" i="6" s="1"/>
  <c r="F102" i="6"/>
  <c r="C102" i="6"/>
  <c r="E102" i="6" s="1"/>
  <c r="C101" i="6"/>
  <c r="E101" i="6" s="1"/>
  <c r="F101" i="6" s="1"/>
  <c r="C100" i="6"/>
  <c r="E100" i="6" s="1"/>
  <c r="F100" i="6" s="1"/>
  <c r="E99" i="6"/>
  <c r="F99" i="6" s="1"/>
  <c r="C99" i="6"/>
  <c r="E98" i="6"/>
  <c r="F98" i="6" s="1"/>
  <c r="C98" i="6"/>
  <c r="E97" i="6"/>
  <c r="F97" i="6" s="1"/>
  <c r="C97" i="6"/>
  <c r="F96" i="6"/>
  <c r="E96" i="6"/>
  <c r="C96" i="6"/>
  <c r="F95" i="6"/>
  <c r="C95" i="6"/>
  <c r="E95" i="6" s="1"/>
  <c r="C94" i="6"/>
  <c r="E94" i="6" s="1"/>
  <c r="F94" i="6" s="1"/>
  <c r="C93" i="6"/>
  <c r="E93" i="6" s="1"/>
  <c r="F93" i="6" s="1"/>
  <c r="C92" i="6"/>
  <c r="E92" i="6" s="1"/>
  <c r="F92" i="6" s="1"/>
  <c r="E91" i="6"/>
  <c r="F91" i="6" s="1"/>
  <c r="C91" i="6"/>
  <c r="E90" i="6"/>
  <c r="F90" i="6" s="1"/>
  <c r="C90" i="6"/>
  <c r="E89" i="6"/>
  <c r="F89" i="6" s="1"/>
  <c r="C89" i="6"/>
  <c r="F88" i="6"/>
  <c r="E88" i="6"/>
  <c r="C88" i="6"/>
  <c r="C87" i="6"/>
  <c r="E87" i="6" s="1"/>
  <c r="F87" i="6" s="1"/>
  <c r="C86" i="6"/>
  <c r="E86" i="6" s="1"/>
  <c r="F86" i="6" s="1"/>
  <c r="C85" i="6"/>
  <c r="E85" i="6" s="1"/>
  <c r="F85" i="6" s="1"/>
  <c r="C84" i="6"/>
  <c r="E84" i="6" s="1"/>
  <c r="F84" i="6" s="1"/>
  <c r="E83" i="6"/>
  <c r="F83" i="6" s="1"/>
  <c r="C83" i="6"/>
  <c r="E82" i="6"/>
  <c r="F82" i="6" s="1"/>
  <c r="C82" i="6"/>
  <c r="E81" i="6"/>
  <c r="F81" i="6" s="1"/>
  <c r="C81" i="6"/>
  <c r="F80" i="6"/>
  <c r="E80" i="6"/>
  <c r="C80" i="6"/>
  <c r="C79" i="6"/>
  <c r="E79" i="6" s="1"/>
  <c r="F79" i="6" s="1"/>
  <c r="F78" i="6"/>
  <c r="C78" i="6"/>
  <c r="E78" i="6" s="1"/>
  <c r="C77" i="6"/>
  <c r="E77" i="6" s="1"/>
  <c r="F77" i="6" s="1"/>
  <c r="C76" i="6"/>
  <c r="E76" i="6" s="1"/>
  <c r="F76" i="6" s="1"/>
  <c r="E75" i="6"/>
  <c r="F75" i="6" s="1"/>
  <c r="C75" i="6"/>
  <c r="E74" i="6"/>
  <c r="F74" i="6" s="1"/>
  <c r="C74" i="6"/>
  <c r="E73" i="6"/>
  <c r="F73" i="6" s="1"/>
  <c r="C73" i="6"/>
  <c r="F72" i="6"/>
  <c r="E72" i="6"/>
  <c r="C72" i="6"/>
  <c r="F71" i="6"/>
  <c r="C71" i="6"/>
  <c r="E71" i="6" s="1"/>
  <c r="C70" i="6"/>
  <c r="E70" i="6" s="1"/>
  <c r="F70" i="6" s="1"/>
  <c r="C69" i="6"/>
  <c r="E69" i="6" s="1"/>
  <c r="F69" i="6" s="1"/>
  <c r="C68" i="6"/>
  <c r="E68" i="6" s="1"/>
  <c r="F68" i="6" s="1"/>
  <c r="E67" i="6"/>
  <c r="F67" i="6" s="1"/>
  <c r="C67" i="6"/>
  <c r="E66" i="6"/>
  <c r="F66" i="6" s="1"/>
  <c r="C66" i="6"/>
  <c r="E65" i="6"/>
  <c r="F65" i="6" s="1"/>
  <c r="C65" i="6"/>
  <c r="F64" i="6"/>
  <c r="E64" i="6"/>
  <c r="C64" i="6"/>
  <c r="F63" i="6"/>
  <c r="C63" i="6"/>
  <c r="E63" i="6" s="1"/>
  <c r="C62" i="6"/>
  <c r="E62" i="6" s="1"/>
  <c r="F62" i="6" s="1"/>
  <c r="C61" i="6"/>
  <c r="E61" i="6" s="1"/>
  <c r="F61" i="6" s="1"/>
  <c r="C60" i="6"/>
  <c r="E60" i="6" s="1"/>
  <c r="F60" i="6" s="1"/>
  <c r="E59" i="6"/>
  <c r="F59" i="6" s="1"/>
  <c r="C59" i="6"/>
  <c r="E58" i="6"/>
  <c r="F58" i="6" s="1"/>
  <c r="C58" i="6"/>
  <c r="E57" i="6"/>
  <c r="F57" i="6" s="1"/>
  <c r="C57" i="6"/>
  <c r="F56" i="6"/>
  <c r="E56" i="6"/>
  <c r="C56" i="6"/>
  <c r="F55" i="6"/>
  <c r="C55" i="6"/>
  <c r="E55" i="6" s="1"/>
  <c r="F54" i="6"/>
  <c r="C54" i="6"/>
  <c r="E54" i="6" s="1"/>
  <c r="C53" i="6"/>
  <c r="E53" i="6" s="1"/>
  <c r="F53" i="6" s="1"/>
  <c r="C52" i="6"/>
  <c r="E52" i="6" s="1"/>
  <c r="F52" i="6" s="1"/>
  <c r="C51" i="6"/>
  <c r="E51" i="6" s="1"/>
  <c r="F51" i="6" s="1"/>
  <c r="E50" i="6"/>
  <c r="F50" i="6" s="1"/>
  <c r="C50" i="6"/>
  <c r="E49" i="6"/>
  <c r="F49" i="6" s="1"/>
  <c r="C49" i="6"/>
  <c r="F48" i="6"/>
  <c r="E48" i="6"/>
  <c r="C48" i="6"/>
  <c r="F47" i="6"/>
  <c r="C47" i="6"/>
  <c r="E47" i="6" s="1"/>
  <c r="F46" i="6"/>
  <c r="C46" i="6"/>
  <c r="E46" i="6" s="1"/>
  <c r="C45" i="6"/>
  <c r="E45" i="6" s="1"/>
  <c r="F45" i="6" s="1"/>
  <c r="C44" i="6"/>
  <c r="E44" i="6" s="1"/>
  <c r="F44" i="6" s="1"/>
  <c r="C43" i="6"/>
  <c r="E43" i="6" s="1"/>
  <c r="F43" i="6" s="1"/>
  <c r="E42" i="6"/>
  <c r="F42" i="6" s="1"/>
  <c r="C42" i="6"/>
  <c r="C41" i="6"/>
  <c r="E41" i="6" s="1"/>
  <c r="F41" i="6" s="1"/>
  <c r="F40" i="6"/>
  <c r="E40" i="6"/>
  <c r="C40" i="6"/>
  <c r="F39" i="6"/>
  <c r="C39" i="6"/>
  <c r="E39" i="6" s="1"/>
  <c r="C38" i="6"/>
  <c r="E38" i="6" s="1"/>
  <c r="F38" i="6" s="1"/>
  <c r="F37" i="6"/>
  <c r="C37" i="6"/>
  <c r="E37" i="6" s="1"/>
  <c r="C36" i="6"/>
  <c r="E36" i="6" s="1"/>
  <c r="F36" i="6" s="1"/>
  <c r="F35" i="6"/>
  <c r="E35" i="6"/>
  <c r="C35" i="6"/>
  <c r="E34" i="6"/>
  <c r="F34" i="6" s="1"/>
  <c r="C34" i="6"/>
  <c r="E33" i="6"/>
  <c r="F33" i="6" s="1"/>
  <c r="C33" i="6"/>
  <c r="E32" i="6"/>
  <c r="F32" i="6" s="1"/>
  <c r="C32" i="6"/>
  <c r="F31" i="6"/>
  <c r="C31" i="6"/>
  <c r="E31" i="6" s="1"/>
  <c r="E30" i="6"/>
  <c r="F30" i="6" s="1"/>
  <c r="C30" i="6"/>
  <c r="E29" i="6"/>
  <c r="F29" i="6" s="1"/>
  <c r="C29" i="6"/>
  <c r="E28" i="6"/>
  <c r="F28" i="6" s="1"/>
  <c r="C28" i="6"/>
  <c r="E27" i="6"/>
  <c r="F27" i="6" s="1"/>
  <c r="C27" i="6"/>
  <c r="E26" i="6"/>
  <c r="F26" i="6" s="1"/>
  <c r="C26" i="6"/>
  <c r="C25" i="6"/>
  <c r="E25" i="6" s="1"/>
  <c r="F25" i="6" s="1"/>
  <c r="F24" i="6"/>
  <c r="E24" i="6"/>
  <c r="C24" i="6"/>
  <c r="F23" i="6"/>
  <c r="E23" i="6"/>
  <c r="C23" i="6"/>
  <c r="C22" i="6"/>
  <c r="E22" i="6" s="1"/>
  <c r="F22" i="6" s="1"/>
  <c r="C21" i="6"/>
  <c r="E21" i="6" s="1"/>
  <c r="F21" i="6" s="1"/>
  <c r="F20" i="6"/>
  <c r="E20" i="6"/>
  <c r="C20" i="6"/>
  <c r="E19" i="6"/>
  <c r="F19" i="6" s="1"/>
  <c r="C19" i="6"/>
  <c r="E18" i="6"/>
  <c r="F18" i="6" s="1"/>
  <c r="C18" i="6"/>
  <c r="C17" i="6"/>
  <c r="E17" i="6" s="1"/>
  <c r="F17" i="6" s="1"/>
  <c r="F16" i="6"/>
  <c r="E16" i="6"/>
  <c r="C16" i="6"/>
  <c r="F15" i="6"/>
  <c r="E15" i="6"/>
  <c r="C15" i="6"/>
  <c r="C14" i="6"/>
  <c r="E14" i="6" s="1"/>
  <c r="F14" i="6" s="1"/>
  <c r="C13" i="6"/>
  <c r="E13" i="6" s="1"/>
  <c r="F13" i="6" s="1"/>
  <c r="F12" i="6"/>
  <c r="E12" i="6"/>
  <c r="C12" i="6"/>
  <c r="E11" i="6"/>
  <c r="F11" i="6" s="1"/>
  <c r="C11" i="6"/>
  <c r="E10" i="6"/>
  <c r="F10" i="6" s="1"/>
  <c r="C10" i="6"/>
  <c r="C9" i="6"/>
  <c r="E9" i="6" s="1"/>
  <c r="F9" i="6" s="1"/>
  <c r="F8" i="6"/>
  <c r="E8" i="6"/>
  <c r="C8" i="6"/>
  <c r="F7" i="6"/>
  <c r="E7" i="6"/>
  <c r="C7" i="6"/>
  <c r="C6" i="6"/>
  <c r="E6" i="6" s="1"/>
  <c r="F6" i="6" s="1"/>
  <c r="C5" i="6"/>
  <c r="E5" i="6" s="1"/>
  <c r="F5" i="6" s="1"/>
  <c r="F4" i="6"/>
  <c r="E4" i="6"/>
  <c r="C4" i="6"/>
  <c r="E3" i="6"/>
  <c r="F3" i="6" s="1"/>
  <c r="C3" i="6"/>
  <c r="E2" i="6"/>
  <c r="F2" i="6" s="1"/>
  <c r="C2" i="6"/>
  <c r="G29" i="9" l="1"/>
  <c r="G30" i="9" s="1"/>
  <c r="G31" i="9" s="1"/>
  <c r="G32" i="9" s="1"/>
  <c r="G33" i="9" s="1"/>
  <c r="G34" i="9" s="1"/>
  <c r="G35" i="9" s="1"/>
  <c r="G36" i="9" s="1"/>
  <c r="G37" i="9" s="1"/>
  <c r="A33" i="5"/>
  <c r="A22" i="5"/>
  <c r="A21" i="5"/>
  <c r="A20" i="5"/>
  <c r="A19" i="5"/>
  <c r="A18" i="5"/>
  <c r="A17" i="5"/>
  <c r="A16" i="5"/>
  <c r="A15" i="5"/>
  <c r="A14" i="5"/>
  <c r="A13" i="5"/>
  <c r="A11" i="5"/>
  <c r="A10" i="5"/>
  <c r="A9" i="5"/>
  <c r="A8" i="5"/>
  <c r="A7" i="5"/>
  <c r="A6" i="5"/>
  <c r="A4" i="5"/>
  <c r="R12" i="1"/>
  <c r="I10" i="1"/>
  <c r="J10" i="1" s="1"/>
  <c r="F2" i="4"/>
  <c r="F3" i="4"/>
  <c r="F4" i="4"/>
  <c r="F5" i="4"/>
  <c r="F6" i="4"/>
  <c r="F7" i="4"/>
  <c r="F8" i="4"/>
  <c r="F9" i="4"/>
  <c r="F10" i="4"/>
  <c r="I5" i="1"/>
  <c r="J5" i="1" s="1"/>
  <c r="N5" i="1"/>
  <c r="P5" i="1"/>
  <c r="R5" i="1"/>
  <c r="N6" i="1"/>
  <c r="P6" i="1"/>
  <c r="R6" i="1"/>
  <c r="I7" i="1"/>
  <c r="J7" i="1" s="1"/>
  <c r="N7" i="1"/>
  <c r="P7" i="1"/>
  <c r="R7" i="1"/>
  <c r="N8" i="1"/>
  <c r="P8" i="1"/>
  <c r="R8" i="1"/>
  <c r="I9" i="1"/>
  <c r="J9" i="1" s="1"/>
  <c r="N9" i="1"/>
  <c r="P9" i="1"/>
  <c r="R9" i="1"/>
  <c r="N10" i="1"/>
  <c r="P10" i="1"/>
  <c r="R10" i="1"/>
  <c r="I11" i="1"/>
  <c r="K11" i="1" s="1"/>
  <c r="L11" i="1" s="1"/>
  <c r="N11" i="1"/>
  <c r="P11" i="1"/>
  <c r="R11" i="1"/>
  <c r="I12" i="1"/>
  <c r="J12" i="1" s="1"/>
  <c r="N12" i="1"/>
  <c r="P12" i="1"/>
  <c r="R4" i="1"/>
  <c r="P4" i="1"/>
  <c r="N4" i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F35" i="3" s="1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F67" i="3" s="1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C2" i="3"/>
  <c r="F2" i="3" s="1"/>
  <c r="C3" i="3"/>
  <c r="C4" i="3"/>
  <c r="F4" i="3" s="1"/>
  <c r="C5" i="3"/>
  <c r="F5" i="3" s="1"/>
  <c r="C6" i="3"/>
  <c r="F6" i="3" s="1"/>
  <c r="C7" i="3"/>
  <c r="F7" i="3" s="1"/>
  <c r="C8" i="3"/>
  <c r="F8" i="3" s="1"/>
  <c r="C9" i="3"/>
  <c r="C10" i="3"/>
  <c r="F10" i="3" s="1"/>
  <c r="C11" i="3"/>
  <c r="F11" i="3" s="1"/>
  <c r="C12" i="3"/>
  <c r="F12" i="3" s="1"/>
  <c r="C13" i="3"/>
  <c r="F13" i="3" s="1"/>
  <c r="C14" i="3"/>
  <c r="F14" i="3" s="1"/>
  <c r="C15" i="3"/>
  <c r="F15" i="3" s="1"/>
  <c r="C16" i="3"/>
  <c r="F16" i="3" s="1"/>
  <c r="C17" i="3"/>
  <c r="C18" i="3"/>
  <c r="F18" i="3" s="1"/>
  <c r="C19" i="3"/>
  <c r="F19" i="3" s="1"/>
  <c r="C20" i="3"/>
  <c r="F20" i="3" s="1"/>
  <c r="C21" i="3"/>
  <c r="F21" i="3" s="1"/>
  <c r="E5" i="1" s="1"/>
  <c r="F5" i="1" s="1"/>
  <c r="C22" i="3"/>
  <c r="F22" i="3" s="1"/>
  <c r="C23" i="3"/>
  <c r="F23" i="3" s="1"/>
  <c r="C24" i="3"/>
  <c r="F24" i="3" s="1"/>
  <c r="C25" i="3"/>
  <c r="C26" i="3"/>
  <c r="F26" i="3" s="1"/>
  <c r="C27" i="3"/>
  <c r="F27" i="3" s="1"/>
  <c r="C28" i="3"/>
  <c r="F28" i="3" s="1"/>
  <c r="C29" i="3"/>
  <c r="F29" i="3" s="1"/>
  <c r="C30" i="3"/>
  <c r="F30" i="3" s="1"/>
  <c r="C31" i="3"/>
  <c r="F31" i="3" s="1"/>
  <c r="E6" i="1" s="1"/>
  <c r="F6" i="1" s="1"/>
  <c r="C32" i="3"/>
  <c r="F32" i="3" s="1"/>
  <c r="C33" i="3"/>
  <c r="C34" i="3"/>
  <c r="F34" i="3" s="1"/>
  <c r="C35" i="3"/>
  <c r="C36" i="3"/>
  <c r="F36" i="3" s="1"/>
  <c r="C37" i="3"/>
  <c r="F37" i="3" s="1"/>
  <c r="C38" i="3"/>
  <c r="F38" i="3" s="1"/>
  <c r="C39" i="3"/>
  <c r="F39" i="3" s="1"/>
  <c r="C40" i="3"/>
  <c r="F40" i="3" s="1"/>
  <c r="C41" i="3"/>
  <c r="C42" i="3"/>
  <c r="F42" i="3" s="1"/>
  <c r="C43" i="3"/>
  <c r="F43" i="3" s="1"/>
  <c r="C44" i="3"/>
  <c r="F44" i="3" s="1"/>
  <c r="C45" i="3"/>
  <c r="F45" i="3" s="1"/>
  <c r="C46" i="3"/>
  <c r="F46" i="3" s="1"/>
  <c r="C47" i="3"/>
  <c r="F47" i="3" s="1"/>
  <c r="C48" i="3"/>
  <c r="F48" i="3" s="1"/>
  <c r="C49" i="3"/>
  <c r="C50" i="3"/>
  <c r="F50" i="3" s="1"/>
  <c r="C51" i="3"/>
  <c r="F51" i="3" s="1"/>
  <c r="C52" i="3"/>
  <c r="F52" i="3" s="1"/>
  <c r="C53" i="3"/>
  <c r="F53" i="3" s="1"/>
  <c r="C54" i="3"/>
  <c r="F54" i="3" s="1"/>
  <c r="C55" i="3"/>
  <c r="F55" i="3" s="1"/>
  <c r="C56" i="3"/>
  <c r="F56" i="3" s="1"/>
  <c r="C57" i="3"/>
  <c r="C58" i="3"/>
  <c r="F58" i="3" s="1"/>
  <c r="C59" i="3"/>
  <c r="F59" i="3" s="1"/>
  <c r="C60" i="3"/>
  <c r="F60" i="3" s="1"/>
  <c r="C61" i="3"/>
  <c r="F61" i="3" s="1"/>
  <c r="E9" i="1" s="1"/>
  <c r="F9" i="1" s="1"/>
  <c r="C62" i="3"/>
  <c r="F62" i="3" s="1"/>
  <c r="C63" i="3"/>
  <c r="F63" i="3" s="1"/>
  <c r="C64" i="3"/>
  <c r="F64" i="3" s="1"/>
  <c r="C65" i="3"/>
  <c r="C66" i="3"/>
  <c r="F66" i="3" s="1"/>
  <c r="C67" i="3"/>
  <c r="C68" i="3"/>
  <c r="F68" i="3" s="1"/>
  <c r="C69" i="3"/>
  <c r="F69" i="3" s="1"/>
  <c r="C70" i="3"/>
  <c r="F70" i="3" s="1"/>
  <c r="C71" i="3"/>
  <c r="F71" i="3" s="1"/>
  <c r="E10" i="1" s="1"/>
  <c r="F10" i="1" s="1"/>
  <c r="C72" i="3"/>
  <c r="F72" i="3" s="1"/>
  <c r="C73" i="3"/>
  <c r="C74" i="3"/>
  <c r="F74" i="3" s="1"/>
  <c r="C75" i="3"/>
  <c r="F75" i="3" s="1"/>
  <c r="C76" i="3"/>
  <c r="F76" i="3" s="1"/>
  <c r="C77" i="3"/>
  <c r="F77" i="3" s="1"/>
  <c r="C78" i="3"/>
  <c r="F78" i="3" s="1"/>
  <c r="C79" i="3"/>
  <c r="F79" i="3" s="1"/>
  <c r="C80" i="3"/>
  <c r="F80" i="3" s="1"/>
  <c r="C81" i="3"/>
  <c r="C82" i="3"/>
  <c r="F82" i="3" s="1"/>
  <c r="C83" i="3"/>
  <c r="F83" i="3" s="1"/>
  <c r="C84" i="3"/>
  <c r="F84" i="3" s="1"/>
  <c r="C85" i="3"/>
  <c r="F85" i="3" s="1"/>
  <c r="C86" i="3"/>
  <c r="F86" i="3" s="1"/>
  <c r="C87" i="3"/>
  <c r="F87" i="3" s="1"/>
  <c r="C88" i="3"/>
  <c r="F88" i="3" s="1"/>
  <c r="C89" i="3"/>
  <c r="C90" i="3"/>
  <c r="F90" i="3" s="1"/>
  <c r="C91" i="3"/>
  <c r="F91" i="3" s="1"/>
  <c r="E12" i="1" s="1"/>
  <c r="F12" i="1" s="1"/>
  <c r="I4" i="1"/>
  <c r="J4" i="1" s="1"/>
  <c r="E8" i="1" l="1"/>
  <c r="F8" i="1" s="1"/>
  <c r="E4" i="1"/>
  <c r="G4" i="1" s="1"/>
  <c r="H4" i="1" s="1"/>
  <c r="F3" i="3"/>
  <c r="F89" i="3"/>
  <c r="F73" i="3"/>
  <c r="F65" i="3"/>
  <c r="F57" i="3"/>
  <c r="F49" i="3"/>
  <c r="F41" i="3"/>
  <c r="F33" i="3"/>
  <c r="F25" i="3"/>
  <c r="F17" i="3"/>
  <c r="F9" i="3"/>
  <c r="G9" i="1"/>
  <c r="H9" i="1" s="1"/>
  <c r="U9" i="1" s="1"/>
  <c r="V9" i="1" s="1"/>
  <c r="F81" i="3"/>
  <c r="I8" i="1"/>
  <c r="K8" i="1" s="1"/>
  <c r="L8" i="1" s="1"/>
  <c r="I6" i="1"/>
  <c r="J6" i="1" s="1"/>
  <c r="K7" i="1"/>
  <c r="L7" i="1" s="1"/>
  <c r="G12" i="1"/>
  <c r="H12" i="1" s="1"/>
  <c r="U12" i="1" s="1"/>
  <c r="V12" i="1" s="1"/>
  <c r="G6" i="1"/>
  <c r="H6" i="1" s="1"/>
  <c r="U6" i="1" s="1"/>
  <c r="V6" i="1" s="1"/>
  <c r="K5" i="1"/>
  <c r="L5" i="1" s="1"/>
  <c r="K4" i="1"/>
  <c r="L4" i="1" s="1"/>
  <c r="K10" i="1"/>
  <c r="L10" i="1" s="1"/>
  <c r="K12" i="1"/>
  <c r="L12" i="1" s="1"/>
  <c r="J11" i="1"/>
  <c r="K9" i="1"/>
  <c r="L9" i="1" s="1"/>
  <c r="G5" i="1"/>
  <c r="H5" i="1" s="1"/>
  <c r="U5" i="1" s="1"/>
  <c r="V5" i="1" s="1"/>
  <c r="G10" i="1"/>
  <c r="H10" i="1" s="1"/>
  <c r="U10" i="1" s="1"/>
  <c r="V10" i="1" s="1"/>
  <c r="J8" i="1" l="1"/>
  <c r="G8" i="1"/>
  <c r="H8" i="1" s="1"/>
  <c r="U8" i="1" s="1"/>
  <c r="V8" i="1" s="1"/>
  <c r="F4" i="1"/>
  <c r="U4" i="1" s="1"/>
  <c r="V4" i="1" s="1"/>
  <c r="S4" i="1"/>
  <c r="T4" i="1" s="1"/>
  <c r="W4" i="1" s="1"/>
  <c r="D4" i="1" s="1"/>
  <c r="E11" i="1"/>
  <c r="S9" i="1"/>
  <c r="T9" i="1" s="1"/>
  <c r="W9" i="1" s="1"/>
  <c r="E7" i="1"/>
  <c r="K6" i="1"/>
  <c r="L6" i="1" s="1"/>
  <c r="S6" i="1" s="1"/>
  <c r="T6" i="1" s="1"/>
  <c r="W6" i="1" s="1"/>
  <c r="S12" i="1"/>
  <c r="T12" i="1" s="1"/>
  <c r="W12" i="1" s="1"/>
  <c r="S5" i="1"/>
  <c r="T5" i="1" s="1"/>
  <c r="S10" i="1"/>
  <c r="T10" i="1" s="1"/>
  <c r="W10" i="1" s="1"/>
  <c r="D6" i="1" l="1"/>
  <c r="E4" i="9" s="1"/>
  <c r="D10" i="1"/>
  <c r="E8" i="9" s="1"/>
  <c r="D9" i="1"/>
  <c r="E7" i="9" s="1"/>
  <c r="W5" i="1"/>
  <c r="S8" i="1"/>
  <c r="T8" i="1" s="1"/>
  <c r="W8" i="1" s="1"/>
  <c r="F11" i="1"/>
  <c r="G11" i="1"/>
  <c r="H11" i="1" s="1"/>
  <c r="G7" i="1"/>
  <c r="H7" i="1" s="1"/>
  <c r="F7" i="1"/>
  <c r="C4" i="1"/>
  <c r="D2" i="9" l="1"/>
  <c r="E2" i="9"/>
  <c r="C10" i="1"/>
  <c r="D8" i="9" s="1"/>
  <c r="C15" i="1"/>
  <c r="D13" i="9" s="1"/>
  <c r="D5" i="1"/>
  <c r="E3" i="9" s="1"/>
  <c r="D8" i="1"/>
  <c r="E6" i="9" s="1"/>
  <c r="U11" i="1"/>
  <c r="V11" i="1" s="1"/>
  <c r="U7" i="1"/>
  <c r="V7" i="1" s="1"/>
  <c r="S7" i="1"/>
  <c r="T7" i="1" s="1"/>
  <c r="S11" i="1"/>
  <c r="T11" i="1" s="1"/>
  <c r="C39" i="1"/>
  <c r="D37" i="9" s="1"/>
  <c r="C21" i="1"/>
  <c r="D19" i="9" s="1"/>
  <c r="C33" i="1" l="1"/>
  <c r="D31" i="9" s="1"/>
  <c r="W11" i="1"/>
  <c r="D11" i="1" s="1"/>
  <c r="E9" i="9" s="1"/>
  <c r="C22" i="1"/>
  <c r="D20" i="9" s="1"/>
  <c r="C9" i="1"/>
  <c r="D7" i="9" s="1"/>
  <c r="C6" i="1"/>
  <c r="D4" i="9" s="1"/>
  <c r="C5" i="1"/>
  <c r="D3" i="9" s="1"/>
  <c r="C28" i="1"/>
  <c r="D26" i="9" s="1"/>
  <c r="W7" i="1"/>
  <c r="C12" i="1" l="1"/>
  <c r="D7" i="1"/>
  <c r="C16" i="1"/>
  <c r="D14" i="9" s="1"/>
  <c r="C34" i="1"/>
  <c r="D32" i="9" s="1"/>
  <c r="C19" i="1"/>
  <c r="D17" i="9" s="1"/>
  <c r="C37" i="1"/>
  <c r="D35" i="9" s="1"/>
  <c r="C11" i="1"/>
  <c r="D9" i="9" s="1"/>
  <c r="C38" i="1"/>
  <c r="D36" i="9" s="1"/>
  <c r="C20" i="1"/>
  <c r="D18" i="9" s="1"/>
  <c r="C7" i="1"/>
  <c r="D5" i="9" s="1"/>
  <c r="C8" i="1" l="1"/>
  <c r="D6" i="9" s="1"/>
  <c r="E5" i="9"/>
  <c r="C13" i="1"/>
  <c r="C30" i="1" s="1"/>
  <c r="D28" i="9" s="1"/>
  <c r="D10" i="9"/>
  <c r="C14" i="1"/>
  <c r="D12" i="9" s="1"/>
  <c r="C31" i="1"/>
  <c r="D29" i="9" s="1"/>
  <c r="C24" i="1"/>
  <c r="D22" i="9" s="1"/>
  <c r="C23" i="1"/>
  <c r="D21" i="9" s="1"/>
  <c r="C27" i="1"/>
  <c r="D25" i="9" s="1"/>
  <c r="C32" i="1"/>
  <c r="D30" i="9" s="1"/>
  <c r="C17" i="1"/>
  <c r="D15" i="9" s="1"/>
  <c r="C35" i="1"/>
  <c r="D33" i="9" s="1"/>
  <c r="C18" i="1"/>
  <c r="D16" i="9" s="1"/>
  <c r="C36" i="1"/>
  <c r="D34" i="9" s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11" i="9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C29" i="1"/>
  <c r="D27" i="9" s="1"/>
  <c r="C26" i="1"/>
  <c r="D24" i="9" s="1"/>
  <c r="C25" i="1"/>
  <c r="D23" i="9" s="1"/>
  <c r="E23" i="9" l="1"/>
  <c r="E24" i="9" s="1"/>
  <c r="E25" i="9" s="1"/>
  <c r="E26" i="9" s="1"/>
  <c r="E27" i="9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D25" i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A5764E-7DD5-4A43-9D50-AA3C3BB672DB}" keepAlive="1" name="Query - Table 0" description="Connection to the 'Table 0' query in the workbook." type="5" refreshedVersion="6" background="1" saveData="1">
    <dbPr connection="Provider=Microsoft.Mashup.OleDb.1;Data Source=$Workbook$;Location=Table 0;Extended Properties=&quot;&quot;" command="SELECT * FROM [Table 0]"/>
  </connection>
  <connection id="2" xr16:uid="{36BD858F-B9E8-4132-8858-7ED422607AFF}" keepAlive="1" name="Query - Table 0 (2)" description="Connection to the 'Table 0 (2)' query in the workbook." type="5" refreshedVersion="6" background="1" saveData="1">
    <dbPr connection="Provider=Microsoft.Mashup.OleDb.1;Data Source=$Workbook$;Location=Table 0 (2);Extended Properties=&quot;&quot;" command="SELECT * FROM [Table 0 (2)]"/>
  </connection>
  <connection id="3" xr16:uid="{18C22220-E687-44C3-A724-01F93A881BFF}" keepAlive="1" name="Query - Table 2" description="Connection to the 'Table 2' query in the workbook." type="5" refreshedVersion="6" background="1" saveData="1">
    <dbPr connection="Provider=Microsoft.Mashup.OleDb.1;Data Source=$Workbook$;Location=Table 2;Extended Properties=&quot;&quot;" command="SELECT * FROM [Table 2]"/>
  </connection>
  <connection id="4" xr16:uid="{56F5FA54-5758-4705-A968-117696B2F5FC}" keepAlive="1" name="Query - Table 3" description="Connection to the 'Table 3' query in the workbook." type="5" refreshedVersion="6" background="1">
    <dbPr connection="Provider=Microsoft.Mashup.OleDb.1;Data Source=$Workbook$;Location=Table 3;Extended Properties=&quot;&quot;" command="SELECT * FROM [Table 3]"/>
  </connection>
</connections>
</file>

<file path=xl/sharedStrings.xml><?xml version="1.0" encoding="utf-8"?>
<sst xmlns="http://schemas.openxmlformats.org/spreadsheetml/2006/main" count="1435" uniqueCount="730">
  <si>
    <t>Latitude</t>
  </si>
  <si>
    <t>Sign</t>
  </si>
  <si>
    <t>º</t>
  </si>
  <si>
    <t>Acc</t>
  </si>
  <si>
    <t>arc LM</t>
  </si>
  <si>
    <t>arc KL</t>
  </si>
  <si>
    <t>arc DK</t>
  </si>
  <si>
    <t>arc DG</t>
  </si>
  <si>
    <t>arc EG</t>
  </si>
  <si>
    <t>Aries</t>
  </si>
  <si>
    <t>Arc of the Ecliptic</t>
  </si>
  <si>
    <t>0;24,16</t>
  </si>
  <si>
    <t>0;48,31</t>
  </si>
  <si>
    <t>1;12,46</t>
  </si>
  <si>
    <t>1;37,0</t>
  </si>
  <si>
    <t>2;1,12</t>
  </si>
  <si>
    <t>2;25,22</t>
  </si>
  <si>
    <t>2;49,30</t>
  </si>
  <si>
    <t>3;13,35</t>
  </si>
  <si>
    <t>3;37,37</t>
  </si>
  <si>
    <t>4;1,38</t>
  </si>
  <si>
    <t>4;25,32</t>
  </si>
  <si>
    <t>4;49,24</t>
  </si>
  <si>
    <t>5;13,11</t>
  </si>
  <si>
    <t>5;36,53</t>
  </si>
  <si>
    <t>6;0,31</t>
  </si>
  <si>
    <t>6;24,1</t>
  </si>
  <si>
    <t>6;47,26</t>
  </si>
  <si>
    <t>7;10,45</t>
  </si>
  <si>
    <t>7;33,57</t>
  </si>
  <si>
    <t>7;57,3</t>
  </si>
  <si>
    <t>8;20,0</t>
  </si>
  <si>
    <t>8;42,50</t>
  </si>
  <si>
    <t>9;5,32</t>
  </si>
  <si>
    <t>9;28,5</t>
  </si>
  <si>
    <t>9;50,29</t>
  </si>
  <si>
    <t>10;12,46</t>
  </si>
  <si>
    <t>10;34,57</t>
  </si>
  <si>
    <t>10;56,44</t>
  </si>
  <si>
    <t>11;18,25</t>
  </si>
  <si>
    <t>11;39,59</t>
  </si>
  <si>
    <t>12;1,20</t>
  </si>
  <si>
    <t>12;22,30</t>
  </si>
  <si>
    <t>12;43,28</t>
  </si>
  <si>
    <t>13;4,14</t>
  </si>
  <si>
    <t>13;24,47</t>
  </si>
  <si>
    <t>13;45,6</t>
  </si>
  <si>
    <t>14;5,11</t>
  </si>
  <si>
    <t>14;25,2</t>
  </si>
  <si>
    <t>14;44,39</t>
  </si>
  <si>
    <t>15;4,4</t>
  </si>
  <si>
    <t>15;23,10</t>
  </si>
  <si>
    <t>15;42,2</t>
  </si>
  <si>
    <t>16;0,38</t>
  </si>
  <si>
    <t>16;18,58</t>
  </si>
  <si>
    <t>16;37,1</t>
  </si>
  <si>
    <t>16;54,47</t>
  </si>
  <si>
    <t>17;12,16</t>
  </si>
  <si>
    <t>17;29,27</t>
  </si>
  <si>
    <t>17;46,20</t>
  </si>
  <si>
    <t>18;2,53</t>
  </si>
  <si>
    <t>18;19,15</t>
  </si>
  <si>
    <t>18;35,5</t>
  </si>
  <si>
    <t>18;50,41</t>
  </si>
  <si>
    <t>19;5,57</t>
  </si>
  <si>
    <t>19;20,56</t>
  </si>
  <si>
    <t>19;35,28</t>
  </si>
  <si>
    <t>19;49,42</t>
  </si>
  <si>
    <t>20;3,31</t>
  </si>
  <si>
    <t>20;17,4</t>
  </si>
  <si>
    <t>20;30,9</t>
  </si>
  <si>
    <t>20;42,58</t>
  </si>
  <si>
    <t>20;55,24</t>
  </si>
  <si>
    <t>21;7,21</t>
  </si>
  <si>
    <t>21;18,58</t>
  </si>
  <si>
    <t>21;30,11</t>
  </si>
  <si>
    <t>21;41,0</t>
  </si>
  <si>
    <t>21;51,25</t>
  </si>
  <si>
    <t>22;1,25</t>
  </si>
  <si>
    <t>22;11,1</t>
  </si>
  <si>
    <t>22;20,11</t>
  </si>
  <si>
    <t>22;28,57</t>
  </si>
  <si>
    <t>22;37,17</t>
  </si>
  <si>
    <t>22;45,11</t>
  </si>
  <si>
    <t>22;52,39</t>
  </si>
  <si>
    <t>22;59,41</t>
  </si>
  <si>
    <t>23;6,17</t>
  </si>
  <si>
    <t>23;12,27</t>
  </si>
  <si>
    <t>23;18,11</t>
  </si>
  <si>
    <t>23;23,28</t>
  </si>
  <si>
    <t>23;28,16</t>
  </si>
  <si>
    <t>23;32,30</t>
  </si>
  <si>
    <t>23;36,35</t>
  </si>
  <si>
    <t>23;40,2</t>
  </si>
  <si>
    <t>23;43,2</t>
  </si>
  <si>
    <t>23;45,34</t>
  </si>
  <si>
    <t>23;47,39</t>
  </si>
  <si>
    <t>23;49,16</t>
  </si>
  <si>
    <t>23;50,25</t>
  </si>
  <si>
    <t>23;51,6</t>
  </si>
  <si>
    <t>23;51,20</t>
  </si>
  <si>
    <t>Arc of the Meridian (Sexagesimal)</t>
  </si>
  <si>
    <t>Degrees</t>
  </si>
  <si>
    <t>Minutes</t>
  </si>
  <si>
    <t>Seconds</t>
  </si>
  <si>
    <t>Arc of the Meridian (Degrees)</t>
  </si>
  <si>
    <r>
      <t xml:space="preserve">arc </t>
    </r>
    <r>
      <rPr>
        <b/>
        <sz val="11"/>
        <color theme="1"/>
        <rFont val="Calibri"/>
        <family val="2"/>
      </rPr>
      <t>ΘG</t>
    </r>
  </si>
  <si>
    <r>
      <t>arc K</t>
    </r>
    <r>
      <rPr>
        <b/>
        <sz val="11"/>
        <color theme="1"/>
        <rFont val="Calibri"/>
        <family val="2"/>
      </rPr>
      <t>Θ</t>
    </r>
  </si>
  <si>
    <t>Crd arc 2LM</t>
  </si>
  <si>
    <t>Crd arc 2KL</t>
  </si>
  <si>
    <t>Crd arc 2DK</t>
  </si>
  <si>
    <t>Crd arc 2DG</t>
  </si>
  <si>
    <t>Crd arc 2EG</t>
  </si>
  <si>
    <t>Crd arc 2ΘG</t>
  </si>
  <si>
    <r>
      <t>Crd arc 2K</t>
    </r>
    <r>
      <rPr>
        <b/>
        <sz val="11"/>
        <color theme="1"/>
        <rFont val="Calibri"/>
        <family val="2"/>
      </rPr>
      <t>Θ</t>
    </r>
  </si>
  <si>
    <t>Crd arc 2EM</t>
  </si>
  <si>
    <t>arc EM</t>
  </si>
  <si>
    <t>Crd Arc 2HM</t>
  </si>
  <si>
    <t>arc HM</t>
  </si>
  <si>
    <t>arc EH</t>
  </si>
  <si>
    <t>Taurus</t>
  </si>
  <si>
    <t>Gemini</t>
  </si>
  <si>
    <t>Cancer</t>
  </si>
  <si>
    <t>Leo</t>
  </si>
  <si>
    <t>Virgo</t>
  </si>
  <si>
    <t>Libra</t>
  </si>
  <si>
    <t>Scorpius</t>
  </si>
  <si>
    <t>Sagittarius</t>
  </si>
  <si>
    <t>Aquarius</t>
  </si>
  <si>
    <t>Pisces</t>
  </si>
  <si>
    <t>Total arc of the Ecliptic</t>
  </si>
  <si>
    <t>Arc</t>
  </si>
  <si>
    <t>Cumulative</t>
  </si>
  <si>
    <t>9;10º</t>
  </si>
  <si>
    <t>18;25º</t>
  </si>
  <si>
    <t>27;50º</t>
  </si>
  <si>
    <t>37;30º</t>
  </si>
  <si>
    <t>47;28º</t>
  </si>
  <si>
    <t>57;44º</t>
  </si>
  <si>
    <t>68;18º</t>
  </si>
  <si>
    <t>79;5º</t>
  </si>
  <si>
    <t>90º</t>
  </si>
  <si>
    <t>9;10</t>
  </si>
  <si>
    <t>9;15</t>
  </si>
  <si>
    <t>9;25</t>
  </si>
  <si>
    <t>9;40</t>
  </si>
  <si>
    <t>9;58</t>
  </si>
  <si>
    <t>10;16</t>
  </si>
  <si>
    <t>10;34</t>
  </si>
  <si>
    <t>10;47</t>
  </si>
  <si>
    <t>10;55</t>
  </si>
  <si>
    <t>Rising Time (Decimal)</t>
  </si>
  <si>
    <t>Rising Time (Sexagesimal)</t>
  </si>
  <si>
    <t>Rhodes</t>
  </si>
  <si>
    <t>Hellespont</t>
  </si>
  <si>
    <t>Capricorn</t>
  </si>
  <si>
    <t>Date</t>
  </si>
  <si>
    <t>Days Past Equinox</t>
  </si>
  <si>
    <t>Accumulated Degrees</t>
  </si>
  <si>
    <t>Degrees Into Sign</t>
  </si>
  <si>
    <t>Scorpio</t>
  </si>
  <si>
    <t>10º</t>
  </si>
  <si>
    <t>20º</t>
  </si>
  <si>
    <t>30º</t>
  </si>
  <si>
    <t>8;17</t>
  </si>
  <si>
    <t>180;0</t>
  </si>
  <si>
    <t>Capricornus</t>
  </si>
  <si>
    <t>360;0</t>
  </si>
  <si>
    <t>7;29</t>
  </si>
  <si>
    <t>14;52</t>
  </si>
  <si>
    <t>12;45</t>
  </si>
  <si>
    <t>Mouths of Tanais</t>
  </si>
  <si>
    <t>51;30º</t>
  </si>
  <si>
    <t>17h</t>
  </si>
  <si>
    <t>54;1º</t>
  </si>
  <si>
    <t>4;5</t>
  </si>
  <si>
    <t>3;36</t>
  </si>
  <si>
    <t>4;12</t>
  </si>
  <si>
    <t>3;43</t>
  </si>
  <si>
    <t>7;19</t>
  </si>
  <si>
    <t>4;31</t>
  </si>
  <si>
    <t>12;48</t>
  </si>
  <si>
    <t>4;0</t>
  </si>
  <si>
    <t>11;19</t>
  </si>
  <si>
    <t>4;56</t>
  </si>
  <si>
    <t>17;44</t>
  </si>
  <si>
    <t>4;26</t>
  </si>
  <si>
    <t>15;45</t>
  </si>
  <si>
    <t>5;34</t>
  </si>
  <si>
    <t>23;18</t>
  </si>
  <si>
    <t>5;4</t>
  </si>
  <si>
    <t>20;49</t>
  </si>
  <si>
    <t>6;25</t>
  </si>
  <si>
    <t>29;43</t>
  </si>
  <si>
    <t>5;56</t>
  </si>
  <si>
    <t>26;45</t>
  </si>
  <si>
    <t>37;12</t>
  </si>
  <si>
    <t>7;5</t>
  </si>
  <si>
    <t>33;50</t>
  </si>
  <si>
    <t>8;49</t>
  </si>
  <si>
    <t>46;1</t>
  </si>
  <si>
    <t>8;33</t>
  </si>
  <si>
    <t>42;23</t>
  </si>
  <si>
    <t>10;14</t>
  </si>
  <si>
    <t>56;15</t>
  </si>
  <si>
    <t>10;7</t>
  </si>
  <si>
    <t>52;30</t>
  </si>
  <si>
    <t>11;36</t>
  </si>
  <si>
    <t>67;51</t>
  </si>
  <si>
    <t>11;43</t>
  </si>
  <si>
    <t>64;13</t>
  </si>
  <si>
    <t>80;36</t>
  </si>
  <si>
    <t>13;1</t>
  </si>
  <si>
    <t>77;14</t>
  </si>
  <si>
    <t>13;39</t>
  </si>
  <si>
    <t>94;15</t>
  </si>
  <si>
    <t>14;3</t>
  </si>
  <si>
    <t>91;17</t>
  </si>
  <si>
    <t>14;7</t>
  </si>
  <si>
    <t>108;22</t>
  </si>
  <si>
    <t>14;36</t>
  </si>
  <si>
    <t>105;53</t>
  </si>
  <si>
    <t>14;22</t>
  </si>
  <si>
    <t>122;44</t>
  </si>
  <si>
    <t>120;45</t>
  </si>
  <si>
    <t>1424;</t>
  </si>
  <si>
    <t>137;8</t>
  </si>
  <si>
    <t>14;54</t>
  </si>
  <si>
    <t>135;39</t>
  </si>
  <si>
    <t>14;19</t>
  </si>
  <si>
    <t>151;27</t>
  </si>
  <si>
    <t>14;50</t>
  </si>
  <si>
    <t>150;29</t>
  </si>
  <si>
    <t>14;18</t>
  </si>
  <si>
    <t>165;45</t>
  </si>
  <si>
    <t>14;47</t>
  </si>
  <si>
    <t>165;16</t>
  </si>
  <si>
    <t>14;15</t>
  </si>
  <si>
    <t>14;44</t>
  </si>
  <si>
    <t>194;15</t>
  </si>
  <si>
    <t>194;44</t>
  </si>
  <si>
    <t>208;33</t>
  </si>
  <si>
    <t>209;31</t>
  </si>
  <si>
    <t>222;52</t>
  </si>
  <si>
    <t>224;21</t>
  </si>
  <si>
    <t>14;24</t>
  </si>
  <si>
    <t>237;16</t>
  </si>
  <si>
    <t>239;15</t>
  </si>
  <si>
    <t>251;31</t>
  </si>
  <si>
    <t>254;7</t>
  </si>
  <si>
    <t>265;45</t>
  </si>
  <si>
    <t>268;43</t>
  </si>
  <si>
    <t>279;24</t>
  </si>
  <si>
    <t>282;46</t>
  </si>
  <si>
    <t>292;9</t>
  </si>
  <si>
    <t>295;47</t>
  </si>
  <si>
    <t>303;45</t>
  </si>
  <si>
    <t>307;30</t>
  </si>
  <si>
    <t>313;59</t>
  </si>
  <si>
    <t>317;37</t>
  </si>
  <si>
    <t>322;48</t>
  </si>
  <si>
    <t>326;10</t>
  </si>
  <si>
    <t>330;17</t>
  </si>
  <si>
    <t>333;15</t>
  </si>
  <si>
    <t>336;42</t>
  </si>
  <si>
    <t>339;11</t>
  </si>
  <si>
    <t>342;16</t>
  </si>
  <si>
    <t>344;15</t>
  </si>
  <si>
    <t>347;12</t>
  </si>
  <si>
    <t>348;41</t>
  </si>
  <si>
    <t>3;41</t>
  </si>
  <si>
    <t>351;43</t>
  </si>
  <si>
    <t>352;41</t>
  </si>
  <si>
    <t>355;55</t>
  </si>
  <si>
    <t>356;24</t>
  </si>
  <si>
    <t>16.5h</t>
  </si>
  <si>
    <t>Southernmost Brittania</t>
  </si>
  <si>
    <t>LoLD</t>
  </si>
  <si>
    <t>Longest Day</t>
  </si>
  <si>
    <t>Shortest Day</t>
  </si>
  <si>
    <t>Sphaera Recta</t>
  </si>
  <si>
    <t>Avalite Gulf</t>
  </si>
  <si>
    <t>Meroe</t>
  </si>
  <si>
    <t>12h</t>
  </si>
  <si>
    <t>0º</t>
  </si>
  <si>
    <t>12.5h</t>
  </si>
  <si>
    <t>8;25º</t>
  </si>
  <si>
    <t>13h</t>
  </si>
  <si>
    <t>16;27º</t>
  </si>
  <si>
    <t>8;35</t>
  </si>
  <si>
    <t>7;58</t>
  </si>
  <si>
    <t>18;25</t>
  </si>
  <si>
    <t>8;39</t>
  </si>
  <si>
    <t>17;14</t>
  </si>
  <si>
    <t>8;5</t>
  </si>
  <si>
    <t>16;3</t>
  </si>
  <si>
    <t>27;50</t>
  </si>
  <si>
    <t>8;52</t>
  </si>
  <si>
    <t>26;6</t>
  </si>
  <si>
    <t>24;20</t>
  </si>
  <si>
    <t>37;30</t>
  </si>
  <si>
    <t>9;8</t>
  </si>
  <si>
    <t>35;14</t>
  </si>
  <si>
    <t>8;36</t>
  </si>
  <si>
    <t>32;56</t>
  </si>
  <si>
    <t>47;28</t>
  </si>
  <si>
    <t>9;29</t>
  </si>
  <si>
    <t>44;43</t>
  </si>
  <si>
    <t>9;1</t>
  </si>
  <si>
    <t>41;57</t>
  </si>
  <si>
    <t>57;44</t>
  </si>
  <si>
    <t>9;51</t>
  </si>
  <si>
    <t>54;34</t>
  </si>
  <si>
    <t>9;27</t>
  </si>
  <si>
    <t>51;24</t>
  </si>
  <si>
    <t>68;18</t>
  </si>
  <si>
    <t>10;15</t>
  </si>
  <si>
    <t>64;49</t>
  </si>
  <si>
    <t>9;56</t>
  </si>
  <si>
    <t>61;20</t>
  </si>
  <si>
    <t>79;5</t>
  </si>
  <si>
    <t>10;35</t>
  </si>
  <si>
    <t>75;24</t>
  </si>
  <si>
    <t>10;23</t>
  </si>
  <si>
    <t>71;43</t>
  </si>
  <si>
    <t>90;0</t>
  </si>
  <si>
    <t>10;51</t>
  </si>
  <si>
    <t>86;15</t>
  </si>
  <si>
    <t>82;30</t>
  </si>
  <si>
    <t>100;55</t>
  </si>
  <si>
    <t>10;59</t>
  </si>
  <si>
    <t>97;14</t>
  </si>
  <si>
    <t>11;3</t>
  </si>
  <si>
    <t>93;33</t>
  </si>
  <si>
    <t>111;42</t>
  </si>
  <si>
    <t>108;13</t>
  </si>
  <si>
    <t>11;11</t>
  </si>
  <si>
    <t>104;44</t>
  </si>
  <si>
    <t>122;16</t>
  </si>
  <si>
    <t>10;53</t>
  </si>
  <si>
    <t>119;6</t>
  </si>
  <si>
    <t>11;12</t>
  </si>
  <si>
    <t>115;56</t>
  </si>
  <si>
    <t>132;32</t>
  </si>
  <si>
    <t>10;41</t>
  </si>
  <si>
    <t>129;47</t>
  </si>
  <si>
    <t>11;5</t>
  </si>
  <si>
    <t>127;1</t>
  </si>
  <si>
    <t>142;30</t>
  </si>
  <si>
    <t>10;27</t>
  </si>
  <si>
    <t>140;14</t>
  </si>
  <si>
    <t>137;56</t>
  </si>
  <si>
    <t>125;10</t>
  </si>
  <si>
    <t>10;12</t>
  </si>
  <si>
    <t>150;26</t>
  </si>
  <si>
    <t>10;44</t>
  </si>
  <si>
    <t>148;40</t>
  </si>
  <si>
    <t>161;35</t>
  </si>
  <si>
    <t>160;24</t>
  </si>
  <si>
    <t>10;33</t>
  </si>
  <si>
    <t>159;13</t>
  </si>
  <si>
    <t>170;50</t>
  </si>
  <si>
    <t>170;15</t>
  </si>
  <si>
    <t>10;25</t>
  </si>
  <si>
    <t>169;38</t>
  </si>
  <si>
    <t>9;45</t>
  </si>
  <si>
    <t>10;22</t>
  </si>
  <si>
    <t>189;10</t>
  </si>
  <si>
    <t>189;45</t>
  </si>
  <si>
    <t>190;22</t>
  </si>
  <si>
    <t>198;25</t>
  </si>
  <si>
    <t>199;36</t>
  </si>
  <si>
    <t>200;47</t>
  </si>
  <si>
    <t>207;50</t>
  </si>
  <si>
    <t>209;34</t>
  </si>
  <si>
    <t>211;20</t>
  </si>
  <si>
    <t>217;30</t>
  </si>
  <si>
    <t>219;46</t>
  </si>
  <si>
    <t>222;4</t>
  </si>
  <si>
    <t>227;28</t>
  </si>
  <si>
    <t>230;13</t>
  </si>
  <si>
    <t>232;59</t>
  </si>
  <si>
    <t>237;44</t>
  </si>
  <si>
    <t>240;54</t>
  </si>
  <si>
    <t>244;4</t>
  </si>
  <si>
    <t>248;18</t>
  </si>
  <si>
    <t>251;47</t>
  </si>
  <si>
    <t>255;16</t>
  </si>
  <si>
    <t>259;5</t>
  </si>
  <si>
    <t>262;46</t>
  </si>
  <si>
    <t>266;27</t>
  </si>
  <si>
    <t>270;0</t>
  </si>
  <si>
    <t>273;45</t>
  </si>
  <si>
    <t>277;30</t>
  </si>
  <si>
    <t>280;55</t>
  </si>
  <si>
    <t>284;36</t>
  </si>
  <si>
    <t>288;17</t>
  </si>
  <si>
    <t>291;42</t>
  </si>
  <si>
    <t>295;11</t>
  </si>
  <si>
    <t>298;40</t>
  </si>
  <si>
    <t>302;16</t>
  </si>
  <si>
    <t>305;26</t>
  </si>
  <si>
    <t>308;36</t>
  </si>
  <si>
    <t>312;32</t>
  </si>
  <si>
    <t>315;17</t>
  </si>
  <si>
    <t>318;3</t>
  </si>
  <si>
    <t>322;30</t>
  </si>
  <si>
    <t>324;46</t>
  </si>
  <si>
    <t>327;4</t>
  </si>
  <si>
    <t>332;10</t>
  </si>
  <si>
    <t>333;54</t>
  </si>
  <si>
    <t>335;40</t>
  </si>
  <si>
    <t>341;35</t>
  </si>
  <si>
    <t>342;46</t>
  </si>
  <si>
    <t>343;57</t>
  </si>
  <si>
    <t>350;50;</t>
  </si>
  <si>
    <t>351;25</t>
  </si>
  <si>
    <t>352;2</t>
  </si>
  <si>
    <t>Soene</t>
  </si>
  <si>
    <t>Lower Egypt</t>
  </si>
  <si>
    <t>13.5h</t>
  </si>
  <si>
    <t>23;51º</t>
  </si>
  <si>
    <t>14h</t>
  </si>
  <si>
    <t>30;22º</t>
  </si>
  <si>
    <t>14.5h</t>
  </si>
  <si>
    <t>36;0º</t>
  </si>
  <si>
    <t>7;23</t>
  </si>
  <si>
    <t>6;48</t>
  </si>
  <si>
    <t>6;14</t>
  </si>
  <si>
    <t>6;55</t>
  </si>
  <si>
    <t>13;43</t>
  </si>
  <si>
    <t>6;21</t>
  </si>
  <si>
    <t>12;35</t>
  </si>
  <si>
    <t>7;45</t>
  </si>
  <si>
    <t>22;37</t>
  </si>
  <si>
    <t>7;10</t>
  </si>
  <si>
    <t>20;53</t>
  </si>
  <si>
    <t>6;37</t>
  </si>
  <si>
    <t>19;12</t>
  </si>
  <si>
    <t>8;4</t>
  </si>
  <si>
    <t>30;41</t>
  </si>
  <si>
    <t>7;33</t>
  </si>
  <si>
    <t>28;26</t>
  </si>
  <si>
    <t>7;1</t>
  </si>
  <si>
    <t>26;13</t>
  </si>
  <si>
    <t>8;31</t>
  </si>
  <si>
    <t>39;12</t>
  </si>
  <si>
    <t>8;2</t>
  </si>
  <si>
    <t>36;28</t>
  </si>
  <si>
    <t>33;46</t>
  </si>
  <si>
    <t>9;3</t>
  </si>
  <si>
    <t>48;15</t>
  </si>
  <si>
    <t>8;37</t>
  </si>
  <si>
    <t>45;5</t>
  </si>
  <si>
    <t>8;12</t>
  </si>
  <si>
    <t>41;58</t>
  </si>
  <si>
    <t>9;36</t>
  </si>
  <si>
    <t>57;51</t>
  </si>
  <si>
    <t>9;17</t>
  </si>
  <si>
    <t>54;22</t>
  </si>
  <si>
    <t>8;56</t>
  </si>
  <si>
    <t>50;54</t>
  </si>
  <si>
    <t>10;11</t>
  </si>
  <si>
    <t>68;2</t>
  </si>
  <si>
    <t>10;0</t>
  </si>
  <si>
    <t>64;22</t>
  </si>
  <si>
    <t>9;47</t>
  </si>
  <si>
    <t>60;41</t>
  </si>
  <si>
    <t>10;43</t>
  </si>
  <si>
    <t>78;45</t>
  </si>
  <si>
    <t>10;38</t>
  </si>
  <si>
    <t>75;0</t>
  </si>
  <si>
    <t>71;15</t>
  </si>
  <si>
    <t>11;7</t>
  </si>
  <si>
    <t>89;52</t>
  </si>
  <si>
    <t>86;12</t>
  </si>
  <si>
    <t>11;16</t>
  </si>
  <si>
    <t>82;31</t>
  </si>
  <si>
    <t>11;23</t>
  </si>
  <si>
    <t>101;15</t>
  </si>
  <si>
    <t>11;34</t>
  </si>
  <si>
    <t>97;46</t>
  </si>
  <si>
    <t>11;47</t>
  </si>
  <si>
    <t>94;18</t>
  </si>
  <si>
    <t>11;32</t>
  </si>
  <si>
    <t>112;47</t>
  </si>
  <si>
    <t>11;51</t>
  </si>
  <si>
    <t>109;37</t>
  </si>
  <si>
    <t>12;12</t>
  </si>
  <si>
    <t>106;30</t>
  </si>
  <si>
    <t>11;29</t>
  </si>
  <si>
    <t>124;16</t>
  </si>
  <si>
    <t>11;55</t>
  </si>
  <si>
    <t>121;32</t>
  </si>
  <si>
    <t>12;20</t>
  </si>
  <si>
    <t>118;50</t>
  </si>
  <si>
    <t>11;25</t>
  </si>
  <si>
    <t>135;41</t>
  </si>
  <si>
    <t>11;54</t>
  </si>
  <si>
    <t>133;26</t>
  </si>
  <si>
    <t>12;23</t>
  </si>
  <si>
    <t>131;13</t>
  </si>
  <si>
    <t>146;57</t>
  </si>
  <si>
    <t>145;13</t>
  </si>
  <si>
    <t>12;19</t>
  </si>
  <si>
    <t>143;32</t>
  </si>
  <si>
    <t>158;2</t>
  </si>
  <si>
    <t>11;40</t>
  </si>
  <si>
    <t>156;53</t>
  </si>
  <si>
    <t>12;13</t>
  </si>
  <si>
    <t>155;45</t>
  </si>
  <si>
    <t>11;1</t>
  </si>
  <si>
    <t>169;3</t>
  </si>
  <si>
    <t>11;35</t>
  </si>
  <si>
    <t>168;28</t>
  </si>
  <si>
    <t>12;9</t>
  </si>
  <si>
    <t>167;54</t>
  </si>
  <si>
    <t>10;57</t>
  </si>
  <si>
    <t>12;6</t>
  </si>
  <si>
    <t>190;57</t>
  </si>
  <si>
    <t>191;32</t>
  </si>
  <si>
    <t>192;6</t>
  </si>
  <si>
    <t>201;58</t>
  </si>
  <si>
    <t>203;7</t>
  </si>
  <si>
    <t>204;15</t>
  </si>
  <si>
    <t>213;3</t>
  </si>
  <si>
    <t>214;47</t>
  </si>
  <si>
    <t>216;28</t>
  </si>
  <si>
    <t>224;19</t>
  </si>
  <si>
    <t>226;34</t>
  </si>
  <si>
    <t>228;47</t>
  </si>
  <si>
    <t>235;44</t>
  </si>
  <si>
    <t>238;28</t>
  </si>
  <si>
    <t>241;10</t>
  </si>
  <si>
    <t>247;13</t>
  </si>
  <si>
    <t>250;23</t>
  </si>
  <si>
    <t>253;30</t>
  </si>
  <si>
    <t>258;45</t>
  </si>
  <si>
    <t>262;14</t>
  </si>
  <si>
    <t>265;42</t>
  </si>
  <si>
    <t>270;8</t>
  </si>
  <si>
    <t>273;48</t>
  </si>
  <si>
    <t>277;29</t>
  </si>
  <si>
    <t>281;15</t>
  </si>
  <si>
    <t>285;0</t>
  </si>
  <si>
    <t>288;45</t>
  </si>
  <si>
    <t>291;58</t>
  </si>
  <si>
    <t>295;38</t>
  </si>
  <si>
    <t>299;19</t>
  </si>
  <si>
    <t>302;9</t>
  </si>
  <si>
    <t>305;38</t>
  </si>
  <si>
    <t>309;6</t>
  </si>
  <si>
    <t>311;45</t>
  </si>
  <si>
    <t>314;55</t>
  </si>
  <si>
    <t>318;2</t>
  </si>
  <si>
    <t>320;48</t>
  </si>
  <si>
    <t>323;32</t>
  </si>
  <si>
    <t>326;14</t>
  </si>
  <si>
    <t>329;19</t>
  </si>
  <si>
    <t>331;34</t>
  </si>
  <si>
    <t>333;47</t>
  </si>
  <si>
    <t>337;23</t>
  </si>
  <si>
    <t>339;7</t>
  </si>
  <si>
    <t>340;48</t>
  </si>
  <si>
    <t>345;8</t>
  </si>
  <si>
    <t>346;17</t>
  </si>
  <si>
    <t>347;25</t>
  </si>
  <si>
    <t>352;37</t>
  </si>
  <si>
    <t>353;12</t>
  </si>
  <si>
    <t>353;46</t>
  </si>
  <si>
    <t>Middle of Pontus</t>
  </si>
  <si>
    <t>Middle of Borysthenes</t>
  </si>
  <si>
    <t>15h</t>
  </si>
  <si>
    <t>40;56º</t>
  </si>
  <si>
    <t>15.5h</t>
  </si>
  <si>
    <t>45;1º</t>
  </si>
  <si>
    <t>16h</t>
  </si>
  <si>
    <t>48;32º</t>
  </si>
  <si>
    <t>5;40</t>
  </si>
  <si>
    <t>5;8</t>
  </si>
  <si>
    <t>4;36</t>
  </si>
  <si>
    <t>5;47</t>
  </si>
  <si>
    <t>11;27</t>
  </si>
  <si>
    <t>5;14</t>
  </si>
  <si>
    <t>4;43</t>
  </si>
  <si>
    <t>9;19</t>
  </si>
  <si>
    <t>6;5</t>
  </si>
  <si>
    <t>17;32</t>
  </si>
  <si>
    <t>5;33</t>
  </si>
  <si>
    <t>15;55</t>
  </si>
  <si>
    <t>5;1</t>
  </si>
  <si>
    <t>14;20</t>
  </si>
  <si>
    <t>6;29</t>
  </si>
  <si>
    <t>24;1</t>
  </si>
  <si>
    <t>5;58</t>
  </si>
  <si>
    <t>21;53</t>
  </si>
  <si>
    <t>5;26</t>
  </si>
  <si>
    <t>19;46</t>
  </si>
  <si>
    <t>7;4</t>
  </si>
  <si>
    <t>31;5</t>
  </si>
  <si>
    <t>6;34</t>
  </si>
  <si>
    <t>28;27</t>
  </si>
  <si>
    <t>25;51</t>
  </si>
  <si>
    <t>7;46</t>
  </si>
  <si>
    <t>38;51</t>
  </si>
  <si>
    <t>7;20</t>
  </si>
  <si>
    <t>35;47</t>
  </si>
  <si>
    <t>6;52</t>
  </si>
  <si>
    <t>32;43</t>
  </si>
  <si>
    <t>8;38</t>
  </si>
  <si>
    <t>47;29</t>
  </si>
  <si>
    <t>8;15</t>
  </si>
  <si>
    <t>44;2</t>
  </si>
  <si>
    <t>7;53</t>
  </si>
  <si>
    <t>40;36</t>
  </si>
  <si>
    <t>9;32</t>
  </si>
  <si>
    <t>57;1</t>
  </si>
  <si>
    <t>53;21</t>
  </si>
  <si>
    <t>9;5</t>
  </si>
  <si>
    <t>49;41</t>
  </si>
  <si>
    <t>10;29</t>
  </si>
  <si>
    <t>67;30</t>
  </si>
  <si>
    <t>10;24</t>
  </si>
  <si>
    <t>63;45</t>
  </si>
  <si>
    <t>10;19</t>
  </si>
  <si>
    <t>60;0</t>
  </si>
  <si>
    <t>11;21</t>
  </si>
  <si>
    <t>78;51</t>
  </si>
  <si>
    <t>11;26</t>
  </si>
  <si>
    <t>75;11</t>
  </si>
  <si>
    <t>11;31</t>
  </si>
  <si>
    <t>71;31</t>
  </si>
  <si>
    <t>12;2</t>
  </si>
  <si>
    <t>90;53</t>
  </si>
  <si>
    <t>12;15</t>
  </si>
  <si>
    <t>87;26</t>
  </si>
  <si>
    <t>12;29</t>
  </si>
  <si>
    <t>84;0</t>
  </si>
  <si>
    <t>12;30</t>
  </si>
  <si>
    <t>103;23</t>
  </si>
  <si>
    <t>12;53</t>
  </si>
  <si>
    <t>100;19</t>
  </si>
  <si>
    <t>13;15</t>
  </si>
  <si>
    <t>97;15</t>
  </si>
  <si>
    <t>12;46</t>
  </si>
  <si>
    <t>116;9</t>
  </si>
  <si>
    <t>13;12</t>
  </si>
  <si>
    <t>113;31</t>
  </si>
  <si>
    <t>13;40</t>
  </si>
  <si>
    <t>110;55</t>
  </si>
  <si>
    <t>12;52</t>
  </si>
  <si>
    <t>129;1</t>
  </si>
  <si>
    <t>13;22</t>
  </si>
  <si>
    <t>126;53</t>
  </si>
  <si>
    <t>13;51</t>
  </si>
  <si>
    <t>124;46</t>
  </si>
  <si>
    <t>12;51</t>
  </si>
  <si>
    <t>141;52</t>
  </si>
  <si>
    <t>140;15</t>
  </si>
  <si>
    <t>13;54</t>
  </si>
  <si>
    <t>138;40</t>
  </si>
  <si>
    <t>154;37</t>
  </si>
  <si>
    <t>13;17</t>
  </si>
  <si>
    <t>153;32</t>
  </si>
  <si>
    <t>13;49</t>
  </si>
  <si>
    <t>152;29</t>
  </si>
  <si>
    <t>12;43</t>
  </si>
  <si>
    <t>167;20</t>
  </si>
  <si>
    <t>13;16</t>
  </si>
  <si>
    <t>166;48</t>
  </si>
  <si>
    <t>13;47</t>
  </si>
  <si>
    <t>166;16</t>
  </si>
  <si>
    <t>12;40</t>
  </si>
  <si>
    <t>13;44</t>
  </si>
  <si>
    <t>192;40</t>
  </si>
  <si>
    <t>193;12</t>
  </si>
  <si>
    <t>193;44</t>
  </si>
  <si>
    <t>205;23</t>
  </si>
  <si>
    <t>206;28</t>
  </si>
  <si>
    <t>207;31</t>
  </si>
  <si>
    <t>218;8</t>
  </si>
  <si>
    <t>219;45</t>
  </si>
  <si>
    <t>221;20</t>
  </si>
  <si>
    <t>230;59</t>
  </si>
  <si>
    <t>233;7</t>
  </si>
  <si>
    <t>235;14</t>
  </si>
  <si>
    <t>243;51</t>
  </si>
  <si>
    <t>246;29</t>
  </si>
  <si>
    <t>249;5</t>
  </si>
  <si>
    <t>256;37</t>
  </si>
  <si>
    <t>259;41</t>
  </si>
  <si>
    <t>262;45</t>
  </si>
  <si>
    <t>269;7</t>
  </si>
  <si>
    <t>272;34</t>
  </si>
  <si>
    <t>276;0</t>
  </si>
  <si>
    <t>281;9</t>
  </si>
  <si>
    <t>284;49</t>
  </si>
  <si>
    <t>288;29</t>
  </si>
  <si>
    <t>292;30</t>
  </si>
  <si>
    <t>296;15</t>
  </si>
  <si>
    <t>300;0</t>
  </si>
  <si>
    <t>302;59</t>
  </si>
  <si>
    <t>306;39</t>
  </si>
  <si>
    <t>310;19</t>
  </si>
  <si>
    <t>312;31</t>
  </si>
  <si>
    <t>315;58</t>
  </si>
  <si>
    <t>319;24</t>
  </si>
  <si>
    <t>321;9</t>
  </si>
  <si>
    <t>324;13</t>
  </si>
  <si>
    <t>327;17</t>
  </si>
  <si>
    <t>328;55</t>
  </si>
  <si>
    <t>331;33</t>
  </si>
  <si>
    <t>334;9</t>
  </si>
  <si>
    <t>335;59</t>
  </si>
  <si>
    <t>338;7</t>
  </si>
  <si>
    <t>340;14</t>
  </si>
  <si>
    <t>342;28</t>
  </si>
  <si>
    <t>344;5</t>
  </si>
  <si>
    <t>345;40</t>
  </si>
  <si>
    <t>348;33</t>
  </si>
  <si>
    <t>349;38</t>
  </si>
  <si>
    <t>350;41</t>
  </si>
  <si>
    <t>354;20</t>
  </si>
  <si>
    <t>354;52</t>
  </si>
  <si>
    <t>355;24</t>
  </si>
  <si>
    <t>Percent Into Sign</t>
  </si>
  <si>
    <t>Calculated Location</t>
  </si>
  <si>
    <t>Rhodes Accumulated</t>
  </si>
  <si>
    <t>Calculated Location Accumulated</t>
  </si>
  <si>
    <t>Hellespont Accumulated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</si>
</sst>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0" xfId="0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0" xfId="0" applyBorder="1"/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3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4" formatCode="0.00%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64" formatCode="m/d;@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II.6'!$B$1</c:f>
              <c:strCache>
                <c:ptCount val="1"/>
                <c:pt idx="0">
                  <c:v>LoLD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II.6'!$A$2:$A$33</c:f>
              <c:numCache>
                <c:formatCode>0.00</c:formatCode>
                <c:ptCount val="32"/>
                <c:pt idx="0">
                  <c:v>0</c:v>
                </c:pt>
                <c:pt idx="1">
                  <c:v>4.5</c:v>
                </c:pt>
                <c:pt idx="2">
                  <c:v>8.4166666666666661</c:v>
                </c:pt>
                <c:pt idx="3">
                  <c:v>12.5</c:v>
                </c:pt>
                <c:pt idx="4">
                  <c:v>16.45</c:v>
                </c:pt>
                <c:pt idx="5">
                  <c:v>20.233333333333334</c:v>
                </c:pt>
                <c:pt idx="6">
                  <c:v>23.85</c:v>
                </c:pt>
                <c:pt idx="7">
                  <c:v>27.2</c:v>
                </c:pt>
                <c:pt idx="8">
                  <c:v>30.366666666666667</c:v>
                </c:pt>
                <c:pt idx="9">
                  <c:v>33.299999999999997</c:v>
                </c:pt>
                <c:pt idx="10">
                  <c:v>36</c:v>
                </c:pt>
                <c:pt idx="11">
                  <c:v>38.583333333333336</c:v>
                </c:pt>
                <c:pt idx="12">
                  <c:v>40.93333333333333</c:v>
                </c:pt>
                <c:pt idx="13">
                  <c:v>43.016666666666666</c:v>
                </c:pt>
                <c:pt idx="14">
                  <c:v>45.016666666666666</c:v>
                </c:pt>
                <c:pt idx="15">
                  <c:v>46.85</c:v>
                </c:pt>
                <c:pt idx="16">
                  <c:v>48.533333333333331</c:v>
                </c:pt>
                <c:pt idx="17">
                  <c:v>50.06666666666667</c:v>
                </c:pt>
                <c:pt idx="18">
                  <c:v>51.5</c:v>
                </c:pt>
                <c:pt idx="19">
                  <c:v>52.833333333333336</c:v>
                </c:pt>
                <c:pt idx="20">
                  <c:v>54.016666666666666</c:v>
                </c:pt>
                <c:pt idx="21">
                  <c:v>55</c:v>
                </c:pt>
                <c:pt idx="22">
                  <c:v>56</c:v>
                </c:pt>
                <c:pt idx="23">
                  <c:v>57</c:v>
                </c:pt>
                <c:pt idx="24">
                  <c:v>58</c:v>
                </c:pt>
                <c:pt idx="25">
                  <c:v>59.5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64.5</c:v>
                </c:pt>
                <c:pt idx="30">
                  <c:v>66</c:v>
                </c:pt>
                <c:pt idx="31">
                  <c:v>66.144444444444446</c:v>
                </c:pt>
              </c:numCache>
            </c:numRef>
          </c:xVal>
          <c:yVal>
            <c:numRef>
              <c:f>'Table II.6'!$B$2:$B$33</c:f>
              <c:numCache>
                <c:formatCode>0.00</c:formatCode>
                <c:ptCount val="32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13.25</c:v>
                </c:pt>
                <c:pt idx="6">
                  <c:v>13.5</c:v>
                </c:pt>
                <c:pt idx="7">
                  <c:v>13.75</c:v>
                </c:pt>
                <c:pt idx="8">
                  <c:v>14</c:v>
                </c:pt>
                <c:pt idx="9">
                  <c:v>14.25</c:v>
                </c:pt>
                <c:pt idx="10">
                  <c:v>14.5</c:v>
                </c:pt>
                <c:pt idx="11">
                  <c:v>14.75</c:v>
                </c:pt>
                <c:pt idx="12">
                  <c:v>15</c:v>
                </c:pt>
                <c:pt idx="13">
                  <c:v>15.25</c:v>
                </c:pt>
                <c:pt idx="14">
                  <c:v>15.5</c:v>
                </c:pt>
                <c:pt idx="15">
                  <c:v>15.75</c:v>
                </c:pt>
                <c:pt idx="16">
                  <c:v>16</c:v>
                </c:pt>
                <c:pt idx="17">
                  <c:v>16.25</c:v>
                </c:pt>
                <c:pt idx="18">
                  <c:v>16.5</c:v>
                </c:pt>
                <c:pt idx="19">
                  <c:v>16.75</c:v>
                </c:pt>
                <c:pt idx="20">
                  <c:v>17</c:v>
                </c:pt>
                <c:pt idx="21">
                  <c:v>17.25</c:v>
                </c:pt>
                <c:pt idx="22">
                  <c:v>17.5</c:v>
                </c:pt>
                <c:pt idx="23">
                  <c:v>17.75</c:v>
                </c:pt>
                <c:pt idx="24">
                  <c:v>18</c:v>
                </c:pt>
                <c:pt idx="25">
                  <c:v>18.5</c:v>
                </c:pt>
                <c:pt idx="26">
                  <c:v>19</c:v>
                </c:pt>
                <c:pt idx="27">
                  <c:v>19.5</c:v>
                </c:pt>
                <c:pt idx="28">
                  <c:v>20</c:v>
                </c:pt>
                <c:pt idx="29">
                  <c:v>21</c:v>
                </c:pt>
                <c:pt idx="30">
                  <c:v>23</c:v>
                </c:pt>
                <c:pt idx="31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DA-401E-A9A4-C2F200ED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750864"/>
        <c:axId val="1061753104"/>
      </c:scatterChart>
      <c:valAx>
        <c:axId val="106175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753104"/>
        <c:crosses val="autoZero"/>
        <c:crossBetween val="midCat"/>
      </c:valAx>
      <c:valAx>
        <c:axId val="10617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75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Comparison!$B$1</c:f>
              <c:strCache>
                <c:ptCount val="1"/>
                <c:pt idx="0">
                  <c:v>Rhodes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Comparison!$A$2:$A$37</c:f>
              <c:numCache>
                <c:formatCode>General</c:formatCode>
                <c:ptCount val="3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</c:numCache>
            </c:numRef>
          </c:cat>
          <c:val>
            <c:numRef>
              <c:f>Comparison!$B$2:$B$37</c:f>
              <c:numCache>
                <c:formatCode>General</c:formatCode>
                <c:ptCount val="36"/>
                <c:pt idx="0">
                  <c:v>6.2333333333333334</c:v>
                </c:pt>
                <c:pt idx="1">
                  <c:v>6.3500000000000005</c:v>
                </c:pt>
                <c:pt idx="2">
                  <c:v>6.6166666666666654</c:v>
                </c:pt>
                <c:pt idx="3">
                  <c:v>7.0166666666666657</c:v>
                </c:pt>
                <c:pt idx="4">
                  <c:v>7.5500000000000007</c:v>
                </c:pt>
                <c:pt idx="5">
                  <c:v>8.2000000000000028</c:v>
                </c:pt>
                <c:pt idx="6">
                  <c:v>8.93333333333333</c:v>
                </c:pt>
                <c:pt idx="7">
                  <c:v>9.7833333333333314</c:v>
                </c:pt>
                <c:pt idx="8">
                  <c:v>10.56666666666667</c:v>
                </c:pt>
                <c:pt idx="9">
                  <c:v>11.266666666666667</c:v>
                </c:pt>
                <c:pt idx="10">
                  <c:v>11.783333333333333</c:v>
                </c:pt>
                <c:pt idx="11">
                  <c:v>12.2</c:v>
                </c:pt>
                <c:pt idx="12">
                  <c:v>12.333333333333334</c:v>
                </c:pt>
                <c:pt idx="13">
                  <c:v>12.383333333333333</c:v>
                </c:pt>
                <c:pt idx="14">
                  <c:v>12.316666666666666</c:v>
                </c:pt>
                <c:pt idx="15">
                  <c:v>12.216666666666667</c:v>
                </c:pt>
                <c:pt idx="16">
                  <c:v>12.15</c:v>
                </c:pt>
                <c:pt idx="17">
                  <c:v>12.1</c:v>
                </c:pt>
                <c:pt idx="18">
                  <c:v>12.1</c:v>
                </c:pt>
                <c:pt idx="19">
                  <c:v>12.15</c:v>
                </c:pt>
                <c:pt idx="20">
                  <c:v>12.216666666666667</c:v>
                </c:pt>
                <c:pt idx="21">
                  <c:v>12.316666666666666</c:v>
                </c:pt>
                <c:pt idx="22">
                  <c:v>12.383333333333333</c:v>
                </c:pt>
                <c:pt idx="23">
                  <c:v>12.333333333333334</c:v>
                </c:pt>
                <c:pt idx="24">
                  <c:v>12.2</c:v>
                </c:pt>
                <c:pt idx="25">
                  <c:v>11.783333333333333</c:v>
                </c:pt>
                <c:pt idx="26">
                  <c:v>11.266666666666667</c:v>
                </c:pt>
                <c:pt idx="27">
                  <c:v>10.566666666666666</c:v>
                </c:pt>
                <c:pt idx="28">
                  <c:v>9.7833333333333332</c:v>
                </c:pt>
                <c:pt idx="29">
                  <c:v>8.9333333333333336</c:v>
                </c:pt>
                <c:pt idx="30">
                  <c:v>8.1999999999999993</c:v>
                </c:pt>
                <c:pt idx="31">
                  <c:v>7.55</c:v>
                </c:pt>
                <c:pt idx="32">
                  <c:v>7.0166666666666666</c:v>
                </c:pt>
                <c:pt idx="33">
                  <c:v>6.6166666666666671</c:v>
                </c:pt>
                <c:pt idx="34">
                  <c:v>6.35</c:v>
                </c:pt>
                <c:pt idx="35">
                  <c:v>6.2333333333333334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D-4992-A2A3-F6B798295B83}"/>
            </c:ext>
          </c:extLst>
        </c:ser>
        <c:ser>
          <c:idx val="1"/>
          <c:order val="1"/>
          <c:tx>
            <c:strRef>
              <c:f>Comparison!$D$1</c:f>
              <c:strCache>
                <c:ptCount val="1"/>
                <c:pt idx="0">
                  <c:v>Calculated Location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Comparison!$A$2:$A$37</c:f>
              <c:numCache>
                <c:formatCode>General</c:formatCode>
                <c:ptCount val="3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</c:numCache>
            </c:numRef>
          </c:cat>
          <c:val>
            <c:numRef>
              <c:f>Comparison!$D$2:$D$37</c:f>
              <c:numCache>
                <c:formatCode>0.00</c:formatCode>
                <c:ptCount val="36"/>
                <c:pt idx="0">
                  <c:v>5.9337253666434542</c:v>
                </c:pt>
                <c:pt idx="1">
                  <c:v>6.0651741913614785</c:v>
                </c:pt>
                <c:pt idx="2">
                  <c:v>6.3318451792062582</c:v>
                </c:pt>
                <c:pt idx="3">
                  <c:v>6.7386998440083943</c:v>
                </c:pt>
                <c:pt idx="4">
                  <c:v>7.2881768890707406</c:v>
                </c:pt>
                <c:pt idx="5">
                  <c:v>7.9725018301596222</c:v>
                </c:pt>
                <c:pt idx="6">
                  <c:v>8.770904940102028</c:v>
                </c:pt>
                <c:pt idx="7">
                  <c:v>9.6190337576414535</c:v>
                </c:pt>
                <c:pt idx="8">
                  <c:v>10.615044384785293</c:v>
                </c:pt>
                <c:pt idx="9">
                  <c:v>11.218288948548039</c:v>
                </c:pt>
                <c:pt idx="10">
                  <c:v>11.947632909025213</c:v>
                </c:pt>
                <c:pt idx="11">
                  <c:v>12.362428393231305</c:v>
                </c:pt>
                <c:pt idx="12">
                  <c:v>12.560831503173713</c:v>
                </c:pt>
                <c:pt idx="13">
                  <c:v>12.645156444262593</c:v>
                </c:pt>
                <c:pt idx="14">
                  <c:v>12.594633489324938</c:v>
                </c:pt>
                <c:pt idx="15">
                  <c:v>12.501488154127074</c:v>
                </c:pt>
                <c:pt idx="16">
                  <c:v>12.434825808638521</c:v>
                </c:pt>
                <c:pt idx="17">
                  <c:v>12.399607966689878</c:v>
                </c:pt>
                <c:pt idx="18">
                  <c:v>12.399607966689878</c:v>
                </c:pt>
                <c:pt idx="19">
                  <c:v>12.434825808638521</c:v>
                </c:pt>
                <c:pt idx="20">
                  <c:v>12.501488154127074</c:v>
                </c:pt>
                <c:pt idx="21">
                  <c:v>12.594633489324938</c:v>
                </c:pt>
                <c:pt idx="22">
                  <c:v>12.645156444262593</c:v>
                </c:pt>
                <c:pt idx="23">
                  <c:v>12.560831503173713</c:v>
                </c:pt>
                <c:pt idx="24">
                  <c:v>12.362428393231305</c:v>
                </c:pt>
                <c:pt idx="25">
                  <c:v>11.947632909025213</c:v>
                </c:pt>
                <c:pt idx="26">
                  <c:v>11.218288948548039</c:v>
                </c:pt>
                <c:pt idx="27">
                  <c:v>10.615044384785293</c:v>
                </c:pt>
                <c:pt idx="28">
                  <c:v>9.6190337576414535</c:v>
                </c:pt>
                <c:pt idx="29">
                  <c:v>8.770904940102028</c:v>
                </c:pt>
                <c:pt idx="30">
                  <c:v>7.9725018301596222</c:v>
                </c:pt>
                <c:pt idx="31">
                  <c:v>7.2881768890707406</c:v>
                </c:pt>
                <c:pt idx="32">
                  <c:v>6.7386998440083943</c:v>
                </c:pt>
                <c:pt idx="33">
                  <c:v>6.3318451792062582</c:v>
                </c:pt>
                <c:pt idx="34">
                  <c:v>6.0651741913614785</c:v>
                </c:pt>
                <c:pt idx="35">
                  <c:v>5.9337253666434542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D-4992-A2A3-F6B798295B83}"/>
            </c:ext>
          </c:extLst>
        </c:ser>
        <c:ser>
          <c:idx val="2"/>
          <c:order val="2"/>
          <c:tx>
            <c:strRef>
              <c:f>Comparison!$F$1</c:f>
              <c:strCache>
                <c:ptCount val="1"/>
                <c:pt idx="0">
                  <c:v>Hellespont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Comparison!$A$2:$A$37</c:f>
              <c:numCache>
                <c:formatCode>General</c:formatCode>
                <c:ptCount val="3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</c:numCache>
            </c:numRef>
          </c:cat>
          <c:val>
            <c:numRef>
              <c:f>Comparison!$F$2:$F$37</c:f>
              <c:numCache>
                <c:formatCode>General</c:formatCode>
                <c:ptCount val="36"/>
                <c:pt idx="0">
                  <c:v>5.666666666666667</c:v>
                </c:pt>
                <c:pt idx="1">
                  <c:v>5.7833333333333323</c:v>
                </c:pt>
                <c:pt idx="2">
                  <c:v>6.0833333333333357</c:v>
                </c:pt>
                <c:pt idx="3">
                  <c:v>6.4833333333333307</c:v>
                </c:pt>
                <c:pt idx="4">
                  <c:v>7.0666666666666664</c:v>
                </c:pt>
                <c:pt idx="5">
                  <c:v>7.7666666666666693</c:v>
                </c:pt>
                <c:pt idx="6">
                  <c:v>8.6333333333333329</c:v>
                </c:pt>
                <c:pt idx="7">
                  <c:v>9.5333333333333314</c:v>
                </c:pt>
                <c:pt idx="8">
                  <c:v>10.483333333333334</c:v>
                </c:pt>
                <c:pt idx="9">
                  <c:v>11.35</c:v>
                </c:pt>
                <c:pt idx="10">
                  <c:v>12.033333333333333</c:v>
                </c:pt>
                <c:pt idx="11">
                  <c:v>12.5</c:v>
                </c:pt>
                <c:pt idx="12">
                  <c:v>12.766666666666667</c:v>
                </c:pt>
                <c:pt idx="13">
                  <c:v>12.866666666666667</c:v>
                </c:pt>
                <c:pt idx="14">
                  <c:v>12.85</c:v>
                </c:pt>
                <c:pt idx="15">
                  <c:v>12.75</c:v>
                </c:pt>
                <c:pt idx="16">
                  <c:v>12.716666666666667</c:v>
                </c:pt>
                <c:pt idx="17">
                  <c:v>12.666666666666666</c:v>
                </c:pt>
                <c:pt idx="18">
                  <c:v>12.666666666666666</c:v>
                </c:pt>
                <c:pt idx="19">
                  <c:v>12.716666666666667</c:v>
                </c:pt>
                <c:pt idx="20">
                  <c:v>12.75</c:v>
                </c:pt>
                <c:pt idx="21">
                  <c:v>12.85</c:v>
                </c:pt>
                <c:pt idx="22">
                  <c:v>12.866666666666667</c:v>
                </c:pt>
                <c:pt idx="23">
                  <c:v>12.766666666666667</c:v>
                </c:pt>
                <c:pt idx="24">
                  <c:v>12.5</c:v>
                </c:pt>
                <c:pt idx="25">
                  <c:v>12.033333333333333</c:v>
                </c:pt>
                <c:pt idx="26">
                  <c:v>11.35</c:v>
                </c:pt>
                <c:pt idx="27">
                  <c:v>10.483333333333334</c:v>
                </c:pt>
                <c:pt idx="28">
                  <c:v>9.5333333333333314</c:v>
                </c:pt>
                <c:pt idx="29">
                  <c:v>8.6333333333333329</c:v>
                </c:pt>
                <c:pt idx="30">
                  <c:v>7.7666666666666693</c:v>
                </c:pt>
                <c:pt idx="31">
                  <c:v>7.0666666666666664</c:v>
                </c:pt>
                <c:pt idx="32">
                  <c:v>6.4833333333333307</c:v>
                </c:pt>
                <c:pt idx="33">
                  <c:v>6.0833333333333357</c:v>
                </c:pt>
                <c:pt idx="34">
                  <c:v>5.7833333333333323</c:v>
                </c:pt>
                <c:pt idx="35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CD-4992-A2A3-F6B79829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747984"/>
        <c:axId val="1061749584"/>
      </c:lineChart>
      <c:catAx>
        <c:axId val="106174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749584"/>
        <c:crosses val="autoZero"/>
        <c:auto val="1"/>
        <c:lblAlgn val="ctr"/>
        <c:lblOffset val="100"/>
        <c:noMultiLvlLbl val="0"/>
      </c:catAx>
      <c:valAx>
        <c:axId val="10617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74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142875</xdr:rowOff>
    </xdr:from>
    <xdr:to>
      <xdr:col>9</xdr:col>
      <xdr:colOff>466725</xdr:colOff>
      <xdr:row>22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13A547-9CB0-4CA6-90E3-971260737E00}"/>
            </a:ext>
          </a:extLst>
        </xdr:cNvPr>
        <xdr:cNvSpPr txBox="1"/>
      </xdr:nvSpPr>
      <xdr:spPr>
        <a:xfrm>
          <a:off x="19050" y="142875"/>
          <a:ext cx="5934075" cy="4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To</a:t>
          </a:r>
          <a:r>
            <a:rPr lang="en-US" sz="1100" baseline="0"/>
            <a:t> use this calculator, simply enter a latitude into cell B2 on the Calculator tab.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are locked to prevent accidental editing. </a:t>
          </a:r>
          <a:r>
            <a:rPr lang="en-US" sz="1100" baseline="0"/>
            <a:t>The latitude should be in decimal form and less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</a:t>
          </a:r>
          <a:r>
            <a:rPr lang="en-US" sz="1100" baseline="0"/>
            <a:t>or equal to 66.14º or else errors will occurr since that is the latitude of the arctic circe and the length of the longest day is undefined above it.</a:t>
          </a:r>
        </a:p>
        <a:p>
          <a:endParaRPr lang="en-US" sz="1100" baseline="0"/>
        </a:p>
        <a:p>
          <a:r>
            <a:rPr lang="en-US" sz="1100" baseline="0"/>
            <a:t>The Excel sheet will then calculate the a table of rising times in 10º intervals as described in Ptolemy's </a:t>
          </a:r>
          <a:r>
            <a:rPr lang="en-US" sz="1100" i="1" baseline="0"/>
            <a:t>Almagest</a:t>
          </a:r>
          <a:r>
            <a:rPr lang="en-US" sz="1100" i="0" baseline="0"/>
            <a:t> (II.7). Reference tables are also included as additional tabs. Not all of these are used (except where looking up values at </a:t>
          </a:r>
          <a:r>
            <a:rPr lang="en-US" sz="1100" i="1" baseline="0"/>
            <a:t>sphaera recta</a:t>
          </a:r>
          <a:r>
            <a:rPr lang="en-US" sz="1100" i="0" baseline="0"/>
            <a:t>), and are provided for the user's benefit.</a:t>
          </a:r>
        </a:p>
        <a:p>
          <a:endParaRPr lang="en-US" sz="1100" i="0" baseline="0"/>
        </a:p>
        <a:p>
          <a:r>
            <a:rPr lang="en-US" sz="1100" i="0" baseline="0"/>
            <a:t>A tab is also included that plots the rising time (in time degrees) vs the interval of the ecliptic that was calculated vs those for Rhodes and Hellespont, allowing for a visual check to ensure the overall shape is correct.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0</xdr:rowOff>
    </xdr:from>
    <xdr:to>
      <xdr:col>9</xdr:col>
      <xdr:colOff>449580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182A1-33F1-4198-BAE4-B2215D366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15</xdr:col>
      <xdr:colOff>38100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8C4AE-04C1-482E-B929-2C7690006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0618653-6E3E-4C3B-A9E2-63DFA367BCAC}" autoFormatId="16" applyNumberFormats="0" applyBorderFormats="0" applyFontFormats="0" applyPatternFormats="0" applyAlignmentFormats="0" applyWidthHeightFormats="0">
  <queryTableRefresh nextId="7" unboundColumnsRight="3">
    <queryTableFields count="6">
      <queryTableField id="1" name="Column1" tableColumnId="1"/>
      <queryTableField id="2" name="Column2" tableColumnId="2"/>
      <queryTableField id="3" name="Column3" tableColumnId="3"/>
      <queryTableField id="4" dataBound="0" tableColumnId="4"/>
      <queryTableField id="5" dataBound="0" tableColumnId="5"/>
      <queryTableField id="6" dataBound="0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8C26DD2-3CBD-46FC-ABC8-CED41D0C28F6}" autoFormatId="16" applyNumberFormats="0" applyBorderFormats="0" applyFontFormats="0" applyPatternFormats="0" applyAlignmentFormats="0" applyWidthHeightFormats="0">
  <queryTableRefresh nextId="7" unboundColumnsRight="4">
    <queryTableFields count="6">
      <queryTableField id="1" name="Arc of the Ecliptic" tableColumnId="1"/>
      <queryTableField id="2" name="Arc of the Meridian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F963774-96DC-4827-BF19-6A425DAF2D5F}" name="Table1" displayName="Table1" ref="A1:F366" totalsRowShown="0" headerRowDxfId="9" dataDxfId="10">
  <autoFilter ref="A1:F366" xr:uid="{07848F74-D1C5-4756-BF99-239DE08684D4}"/>
  <tableColumns count="6">
    <tableColumn id="1" xr3:uid="{4CCB80A9-A8D1-48BD-AD52-09E35EEB5A9B}" name="Date" dataDxfId="16"/>
    <tableColumn id="2" xr3:uid="{CA29A0A9-8062-4810-AF4D-99C77CE9DF86}" name="Days Past Equinox" dataDxfId="15"/>
    <tableColumn id="3" xr3:uid="{1E87CDE7-D2AF-4891-8BAF-52FEB2FE9A03}" name="Accumulated Degrees" dataDxfId="14">
      <calculatedColumnFormula>B2/365*360</calculatedColumnFormula>
    </tableColumn>
    <tableColumn id="4" xr3:uid="{43182C08-6750-48DB-A6DD-89239BCB6A9F}" name="Sign" dataDxfId="13"/>
    <tableColumn id="5" xr3:uid="{62B76987-EB25-4D14-A01C-876B9AE142EA}" name="Degrees Into Sign" dataDxfId="12">
      <calculatedColumnFormula>C2-330</calculatedColumnFormula>
    </tableColumn>
    <tableColumn id="6" xr3:uid="{518C24FF-A5E1-443B-B8B1-D90B65783FA5}" name="Percent Into Sign" dataDxfId="11">
      <calculatedColumnFormula>Table1[[#This Row],[Degrees Into Sign]]/30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49021B-3A3E-467B-B908-1C6E2734558D}" name="Table3" displayName="Table3" ref="A1:B33" totalsRowShown="0" headerRowDxfId="36" dataDxfId="35">
  <autoFilter ref="A1:B33" xr:uid="{025FEE20-62D0-4FAB-B33C-9789C9F82E03}"/>
  <tableColumns count="2">
    <tableColumn id="1" xr3:uid="{18535F88-BAB5-4017-BA53-6F900E499C6C}" name="Latitude" dataDxfId="34"/>
    <tableColumn id="2" xr3:uid="{22243271-8324-4D02-8D6C-355E51C21407}" name="LoLD" dataDxfId="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9D040F-ABF8-43D1-A8F8-E1D2C745D5A5}" name="Table_0__2" displayName="Table_0__2" ref="A1:F10" tableType="queryTable" totalsRowShown="0" headerRowDxfId="32" dataDxfId="31">
  <autoFilter ref="A1:F10" xr:uid="{4E5D20FD-9C8B-4F55-B004-44FA510D8341}"/>
  <tableColumns count="6">
    <tableColumn id="1" xr3:uid="{7054793E-3AA5-42F9-A29F-AF8602FBB59E}" uniqueName="1" name="Arc" queryTableFieldId="1" dataDxfId="30"/>
    <tableColumn id="2" xr3:uid="{1A5C6FCB-E826-40EE-A9E8-C81C278AB508}" uniqueName="2" name="Rising Time (Sexagesimal)" queryTableFieldId="2" dataDxfId="29"/>
    <tableColumn id="3" xr3:uid="{0C647574-9CC5-468C-98C8-B61D97A84F64}" uniqueName="3" name="Cumulative" queryTableFieldId="3" dataDxfId="28"/>
    <tableColumn id="4" xr3:uid="{38AFFE8C-2C20-4366-A281-D0F88943C0C0}" uniqueName="4" name="Degrees" queryTableFieldId="4" dataDxfId="27"/>
    <tableColumn id="5" xr3:uid="{EF0D295F-18BE-406B-9279-E6F9DC9E2076}" uniqueName="5" name="Minutes" queryTableFieldId="5" dataDxfId="26"/>
    <tableColumn id="6" xr3:uid="{21195DB9-3545-4093-8FC3-73CF70EA114D}" uniqueName="6" name="Rising Time (Decimal)" queryTableFieldId="6" dataDxfId="25">
      <calculatedColumnFormula>Table_0__2[[#This Row],[Degrees]]+Table_0__2[[#This Row],[Minutes]]/60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642A90-D1CB-498F-8C7E-8EEC908A36EA}" name="Table_0" displayName="Table_0" ref="A1:F91" tableType="queryTable" totalsRowShown="0" headerRowDxfId="24" dataDxfId="23">
  <autoFilter ref="A1:F91" xr:uid="{E45082E5-DD90-4220-A335-0A0C2E0EB38B}"/>
  <tableColumns count="6">
    <tableColumn id="1" xr3:uid="{600282C8-6F1E-40E0-AF2D-B41547890BD6}" uniqueName="1" name="Arc of the Ecliptic" queryTableFieldId="1" dataDxfId="22"/>
    <tableColumn id="2" xr3:uid="{D79C0EDD-0F0A-4B92-BB42-478402D91235}" uniqueName="2" name="Arc of the Meridian (Sexagesimal)" queryTableFieldId="2" dataDxfId="21"/>
    <tableColumn id="3" xr3:uid="{0D48AB77-86C0-4BA7-9990-BCFBDF723AF5}" uniqueName="3" name="Degrees" queryTableFieldId="3" dataDxfId="20">
      <calculatedColumnFormula>LEFT(B2, FIND(";", B2&amp;";")-1)</calculatedColumnFormula>
    </tableColumn>
    <tableColumn id="4" xr3:uid="{B007F844-78E8-4E64-A56D-2CE96F9A4A58}" uniqueName="4" name="Minutes" queryTableFieldId="4" dataDxfId="19">
      <calculatedColumnFormula>MID(B2,SEARCH(";",B2)+1,SEARCH(",",B2)-SEARCH(";",B2)-1)+0</calculatedColumnFormula>
    </tableColumn>
    <tableColumn id="5" xr3:uid="{29CC9DE7-E9A8-4CAE-8B3A-8FFBE90B9A3D}" uniqueName="5" name="Seconds" queryTableFieldId="5" dataDxfId="18">
      <calculatedColumnFormula>RIGHT(B2, LEN(B2)-FIND(",", B2))</calculatedColumnFormula>
    </tableColumn>
    <tableColumn id="6" xr3:uid="{8159DE98-47C1-4CB2-BEFF-AB867485CE81}" uniqueName="6" name="Arc of the Meridian (Degrees)" queryTableFieldId="6" dataDxfId="17">
      <calculatedColumnFormula>Table_0[[#This Row],[Degrees]]+Table_0[[#This Row],[Minutes]]/60+Table_0[[#This Row],[Seconds]]/3600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95C82A-1453-45BF-9074-E6CD2573E95E}" name="Table5" displayName="Table5" ref="A1:G37" totalsRowShown="0" headerRowDxfId="8" dataDxfId="0">
  <autoFilter ref="A1:G37" xr:uid="{D3298C27-7459-4DE1-A894-3A5292CB3C68}"/>
  <tableColumns count="7">
    <tableColumn id="1" xr3:uid="{025704FA-1337-4785-BAE0-853FA9A1DE3D}" name="Degrees" dataDxfId="7"/>
    <tableColumn id="2" xr3:uid="{F127D147-DF05-498C-8C09-41D3D37ABACB}" name="Rhodes" dataDxfId="6"/>
    <tableColumn id="3" xr3:uid="{1C587258-D1DA-46EA-AA95-DB6D65EE2789}" name="Rhodes Accumulated" dataDxfId="5">
      <calculatedColumnFormula>B2+C1</calculatedColumnFormula>
    </tableColumn>
    <tableColumn id="4" xr3:uid="{88A27925-AF2A-4714-A295-7E29F5820EE1}" name="Calculated Location" dataDxfId="4">
      <calculatedColumnFormula>Calculator!C4</calculatedColumnFormula>
    </tableColumn>
    <tableColumn id="5" xr3:uid="{66AC5353-2D92-4047-BD2B-0FE911DDE6A3}" name="Calculated Location Accumulated" dataDxfId="3">
      <calculatedColumnFormula>E1+D2</calculatedColumnFormula>
    </tableColumn>
    <tableColumn id="6" xr3:uid="{F7F32E2B-A1DA-485D-94FF-74F5A8750CDE}" name="Hellespont" dataDxfId="2"/>
    <tableColumn id="7" xr3:uid="{D49294B1-589F-4381-BA6F-8AD5FC4C7B17}" name="Hellespont Accumulated" dataDxfId="1">
      <calculatedColumnFormula>G1+F2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0A4F-DF86-4876-A17E-AF0BC3B060A2}">
  <dimension ref="A1"/>
  <sheetViews>
    <sheetView workbookViewId="0">
      <selection activeCell="K2" sqref="K2"/>
    </sheetView>
  </sheetViews>
  <sheetFormatPr defaultRowHeight="15" x14ac:dyDescent="0.25"/>
  <sheetData/>
  <sheetProtection algorithmName="SHA-512" hashValue="4ej7FnedOqifCYkSQCvOG6HVpvywz9uigrTJZygohGUV49LMS0AFeMZDLFIb43G09MCEaYC2ltU07clXlFc6Kw==" saltValue="TdeIBpjsp/dKv5VV+swAow==" spinCount="100000" sheet="1" objects="1" scenario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ED95-A649-45BD-BC17-0C896B2067A7}">
  <dimension ref="A1:W40"/>
  <sheetViews>
    <sheetView tabSelected="1" workbookViewId="0">
      <selection activeCell="B1" sqref="B1"/>
    </sheetView>
  </sheetViews>
  <sheetFormatPr defaultRowHeight="15" x14ac:dyDescent="0.25"/>
  <cols>
    <col min="1" max="1" width="9.42578125" bestFit="1" customWidth="1"/>
    <col min="2" max="2" width="12.28515625" style="1" customWidth="1"/>
    <col min="6" max="6" width="11" bestFit="1" customWidth="1"/>
    <col min="8" max="8" width="10.28515625" bestFit="1" customWidth="1"/>
    <col min="10" max="10" width="10.7109375" bestFit="1" customWidth="1"/>
    <col min="12" max="12" width="10.7109375" bestFit="1" customWidth="1"/>
    <col min="14" max="14" width="10.5703125" bestFit="1" customWidth="1"/>
    <col min="16" max="16" width="10.85546875" bestFit="1" customWidth="1"/>
    <col min="18" max="18" width="10.7109375" bestFit="1" customWidth="1"/>
    <col min="19" max="19" width="11.140625" bestFit="1" customWidth="1"/>
    <col min="21" max="21" width="11.5703125" bestFit="1" customWidth="1"/>
  </cols>
  <sheetData>
    <row r="1" spans="1:23" ht="30.75" thickBot="1" x14ac:dyDescent="0.3">
      <c r="A1" s="77" t="s">
        <v>0</v>
      </c>
      <c r="B1" s="61">
        <v>38.630000000000003</v>
      </c>
      <c r="E1" s="78" t="s">
        <v>278</v>
      </c>
      <c r="F1" s="79">
        <f>IF($B$1 &lt; 4.5,$B$1/4.5 * 0.25 + 12,IF(AND($B$1 &gt;= 4.5, $B$1 &lt; 8.42),($B$1-4.5) / 3.92 * 0.25 + 12.25,IF(AND($B$1 &gt;= 8.42, $B$1 &lt; 12.5),($B$1-8.42)/4.08 *0.25 + 12.5,IF(AND($B$1 &gt;= 12.5, $B$1 &lt; 16.45),($B$1-12.5)/3.95 * 0.25 + 12.75,IF(AND($B$1 &gt;= 16.45, $B$1 &lt; 20.23),($B$1-16.45)/3.95 * 0.25 + 13,IF(AND($B$1 &gt;= 20.23, $B$1 &lt; 23.85),($B$1-20.23)/3.62 * 0.25 + 13.25,IF(AND($B$1 &gt;= 23.85, $B$1 &lt; 27.2),($B$1-23.85)/3.35 * 2.5 + 13.5,IF(AND($B$1 &gt;= 27.2, $B$1 &lt; 30.37),($B$1-27.2)/3.17 * 0.25 + 13.75,IF(AND($B$1 &gt;= 30.37, $B$1 &lt; 33.3),($B$1-30.37)/2.93 * 0.25 + 14,IF(AND($B$1 &gt;= 33.3, $B$1 &lt; 36),($B$1-33.3)/2.7 * 0.25 + 14.25,IF(AND($B$1 &gt;= 36, $B$1 &lt; 38.58),($B$1-36)/2.58 * 0.25 + 14.5,IF(AND($B$1 &gt;= 38.58, $B$1 &lt; 40.93),($B$1-38.58)/2.35 * 0.25 + 14.75,IF(AND($B$1 &gt;= 40.93, $B$1 &lt; 43.02),($B$1-40.93)/2.09 * 0.25 + 15,IF(AND($B$1 &gt;= 43.02, $B$1 &lt;  45.02),($B$1-43.02)/2 * 0.25 + 15.25,IF(AND($B$1 &gt;= 45.02, $B$1 &lt; 46.85),($B$1-45.02)/1.83 * 0.25 + 15.5,IF(AND($B$1 &gt;= 46.85, $B$1 &lt; 48.53),($B$1-46.85)/1.68 * 0.25 + 15.75,IF(AND($B$1 &gt;= 48.53, $B$1 &lt; 50.07),($B$1-48.53)/1.54 * 0.25 + 16,IF(AND($B$1 &gt;= 50.07, $B$1 &lt; 51.5),($B$1-50.07)/1.43 * 0.25 + 16.25,IF(AND($B$1 &gt;= 51.5, $B$1 &lt; 52.83),($B$1-51.5)/1.33 * 0.25 + 16.5,IF(AND($B$1 &gt;= 52.83, $B$1 &lt; 54.02),($B$1-52.83)/1.19 * 0.25 + 16.75,IF(AND($B$1 &gt;= 54.02, $B$1 &lt; 55),($B$1-54.02)/0.98 * 0.25 + 17,IF(AND($B$1 &gt;= 55, $B$1 &lt; 56),($B$1-55)/1 * 0.25 + 17.25,IF(AND($B$1 &gt;= 56, $B$1 &lt; 57),($B$1-56)/1 * 0.25 + 17.5,IF(AND($B$1 &gt;= 57, $B$1 &lt; 58),($B$1-57)/1  * 0.25 + 17.75,IF(AND($B$1 &gt;= 58, $B$1 &lt; 59.5),($B$1-58)/1.5 * 0.5 + 18,IF(AND($B$1 &gt;= 59.5, $B$1 &lt; 61),($B$1-59.5)/1.5 * 0.5 + 18.5,IF(AND($B$1 &gt;= 61, $B$1 &lt; 62),($B$1-61)/1 * 0.5 + 19,IF(AND($B$1 &gt;= 62, $B$1 &lt; 63),($B$1-62)/1 * 0.5 + 19.5,IF(AND($B$1 &gt;= 63, $B$1 &lt; 64.5),($B$1-63)/1.5 * 1 + 20,IF(AND($B$1 &gt;= 64.5, $B$1 &lt; 66),($B$1-64.5)/1.5 * 2 + 21,IF(AND($B$1 &gt;= 66, $B$1 &lt;= 66.14),($B$1-66)/0.14 * 1 + 23,"ERROR")))))))))))))))))))))))))))))))</f>
        <v>14.75531914893617</v>
      </c>
      <c r="G1" s="78" t="s">
        <v>279</v>
      </c>
      <c r="H1" s="79">
        <f>24-F1</f>
        <v>9.2446808510638299</v>
      </c>
    </row>
    <row r="2" spans="1:23" ht="15.75" thickBot="1" x14ac:dyDescent="0.3">
      <c r="A2" s="74"/>
      <c r="B2" s="75"/>
      <c r="C2" s="76"/>
      <c r="F2" s="73"/>
    </row>
    <row r="3" spans="1:23" ht="30.75" thickTop="1" x14ac:dyDescent="0.25">
      <c r="A3" s="72" t="s">
        <v>1</v>
      </c>
      <c r="B3" s="62" t="s">
        <v>130</v>
      </c>
      <c r="C3" s="63" t="s">
        <v>2</v>
      </c>
      <c r="D3" s="64" t="s">
        <v>3</v>
      </c>
      <c r="E3" s="5" t="s">
        <v>4</v>
      </c>
      <c r="F3" s="5" t="s">
        <v>108</v>
      </c>
      <c r="G3" s="5" t="s">
        <v>5</v>
      </c>
      <c r="H3" s="5" t="s">
        <v>109</v>
      </c>
      <c r="I3" s="5" t="s">
        <v>6</v>
      </c>
      <c r="J3" s="5" t="s">
        <v>110</v>
      </c>
      <c r="K3" s="5" t="s">
        <v>7</v>
      </c>
      <c r="L3" s="5" t="s">
        <v>111</v>
      </c>
      <c r="M3" s="5" t="s">
        <v>8</v>
      </c>
      <c r="N3" s="5" t="s">
        <v>112</v>
      </c>
      <c r="O3" s="5" t="s">
        <v>106</v>
      </c>
      <c r="P3" s="5" t="s">
        <v>113</v>
      </c>
      <c r="Q3" s="5" t="s">
        <v>107</v>
      </c>
      <c r="R3" s="8" t="s">
        <v>114</v>
      </c>
      <c r="S3" s="5" t="s">
        <v>115</v>
      </c>
      <c r="T3" s="5" t="s">
        <v>116</v>
      </c>
      <c r="U3" s="5" t="s">
        <v>117</v>
      </c>
      <c r="V3" s="8" t="s">
        <v>118</v>
      </c>
      <c r="W3" s="5" t="s">
        <v>119</v>
      </c>
    </row>
    <row r="4" spans="1:23" x14ac:dyDescent="0.25">
      <c r="A4" s="24" t="s">
        <v>9</v>
      </c>
      <c r="B4" s="11">
        <v>10</v>
      </c>
      <c r="C4" s="16">
        <f>D4</f>
        <v>5.9337253666434542</v>
      </c>
      <c r="D4" s="65">
        <f>W4</f>
        <v>5.9337253666434542</v>
      </c>
      <c r="E4" s="7">
        <f>VLOOKUP(B4, Table_0[], 6)</f>
        <v>4.027222222222222</v>
      </c>
      <c r="F4" s="7">
        <f>120*SIN(RADIANS(E4))</f>
        <v>8.4276511078035483</v>
      </c>
      <c r="G4" s="7">
        <f>90-E4</f>
        <v>85.972777777777779</v>
      </c>
      <c r="H4" s="7">
        <f>120*SIN(RADIANS(G4))</f>
        <v>119.70369541833342</v>
      </c>
      <c r="I4" s="7">
        <f>$B$1</f>
        <v>38.630000000000003</v>
      </c>
      <c r="J4" s="7">
        <f>120*SIN(RADIANS(I4))</f>
        <v>74.914645719970466</v>
      </c>
      <c r="K4" s="7">
        <f>90-I4</f>
        <v>51.37</v>
      </c>
      <c r="L4" s="7">
        <f>120*SIN(RADIANS(K4))</f>
        <v>93.743244325398237</v>
      </c>
      <c r="M4" s="7">
        <v>90</v>
      </c>
      <c r="N4" s="7">
        <f>120*SIN(RADIANS(M4))</f>
        <v>120</v>
      </c>
      <c r="O4" s="7">
        <v>23.86</v>
      </c>
      <c r="P4" s="7">
        <f>120*SIN(RADIANS(O4))</f>
        <v>48.540386211892496</v>
      </c>
      <c r="Q4" s="7">
        <v>66.14</v>
      </c>
      <c r="R4" s="9">
        <f>120*SIN(RADIANS(Q4))</f>
        <v>109.74438895178341</v>
      </c>
      <c r="S4" s="7">
        <f>N4*J4/L4*F4/H4</f>
        <v>6.7516043850516541</v>
      </c>
      <c r="T4" s="7">
        <f>DEGREES(ASIN(S4/120))</f>
        <v>3.2253568442077469</v>
      </c>
      <c r="U4" s="7">
        <f t="shared" ref="U4:U12" si="0">N4*R4/P4*F4/H4</f>
        <v>19.101142017129746</v>
      </c>
      <c r="V4" s="9">
        <f>DEGREES(ASIN(U4/120))</f>
        <v>9.1590822108512011</v>
      </c>
      <c r="W4" s="6">
        <f t="shared" ref="W4:W12" si="1">V4-T4</f>
        <v>5.9337253666434542</v>
      </c>
    </row>
    <row r="5" spans="1:23" x14ac:dyDescent="0.25">
      <c r="A5" s="24"/>
      <c r="B5" s="12">
        <v>20</v>
      </c>
      <c r="C5" s="13">
        <f>D5-D4</f>
        <v>6.0651741913614785</v>
      </c>
      <c r="D5" s="66">
        <f t="shared" ref="D5:D11" si="2">W5</f>
        <v>11.998899558004933</v>
      </c>
      <c r="E5" s="7">
        <f>VLOOKUP(B5, Table_0[], 6)</f>
        <v>7.9508333333333336</v>
      </c>
      <c r="F5" s="7">
        <f t="shared" ref="F5:F12" si="3">120*SIN(RADIANS(E5))</f>
        <v>16.598793692913056</v>
      </c>
      <c r="G5" s="7">
        <f t="shared" ref="G5:G12" si="4">90-E5</f>
        <v>82.049166666666665</v>
      </c>
      <c r="H5" s="7">
        <f t="shared" ref="H5:H12" si="5">120*SIN(RADIANS(G5))</f>
        <v>118.8464557651599</v>
      </c>
      <c r="I5" s="7">
        <f t="shared" ref="I5:I12" si="6">$B$1</f>
        <v>38.630000000000003</v>
      </c>
      <c r="J5" s="7">
        <f t="shared" ref="J5:J12" si="7">120*SIN(RADIANS(I5))</f>
        <v>74.914645719970466</v>
      </c>
      <c r="K5" s="7">
        <f t="shared" ref="K5:K12" si="8">90-I5</f>
        <v>51.37</v>
      </c>
      <c r="L5" s="7">
        <f t="shared" ref="L5:L12" si="9">120*SIN(RADIANS(K5))</f>
        <v>93.743244325398237</v>
      </c>
      <c r="M5" s="7">
        <v>90</v>
      </c>
      <c r="N5" s="7">
        <f t="shared" ref="N5:N12" si="10">120*SIN(RADIANS(M5))</f>
        <v>120</v>
      </c>
      <c r="O5" s="7">
        <v>23.86</v>
      </c>
      <c r="P5" s="7">
        <f t="shared" ref="P5:P12" si="11">120*SIN(RADIANS(O5))</f>
        <v>48.540386211892496</v>
      </c>
      <c r="Q5" s="7">
        <v>66.14</v>
      </c>
      <c r="R5" s="9">
        <f t="shared" ref="R5:R12" si="12">120*SIN(RADIANS(Q5))</f>
        <v>109.74438895178341</v>
      </c>
      <c r="S5" s="7">
        <f t="shared" ref="S5:S12" si="13">N5*J5/L5*F5/H5</f>
        <v>13.393629731929055</v>
      </c>
      <c r="T5" s="7">
        <f t="shared" ref="T5:T12" si="14">DEGREES(ASIN(S5/120))</f>
        <v>6.4083398131611586</v>
      </c>
      <c r="U5" s="7">
        <f t="shared" si="0"/>
        <v>37.892271087573647</v>
      </c>
      <c r="V5" s="9">
        <f t="shared" ref="V5:V12" si="15">DEGREES(ASIN(U5/120))</f>
        <v>18.407239371166092</v>
      </c>
      <c r="W5" s="6">
        <f t="shared" si="1"/>
        <v>11.998899558004933</v>
      </c>
    </row>
    <row r="6" spans="1:23" x14ac:dyDescent="0.25">
      <c r="A6" s="24"/>
      <c r="B6" s="14">
        <v>30</v>
      </c>
      <c r="C6" s="15">
        <f t="shared" ref="C6:C12" si="16">D6-D5</f>
        <v>6.3318451792062582</v>
      </c>
      <c r="D6" s="67">
        <f t="shared" si="2"/>
        <v>18.330744737211191</v>
      </c>
      <c r="E6" s="7">
        <f>VLOOKUP(B6, Table_0[], 6)</f>
        <v>11.666388888888889</v>
      </c>
      <c r="F6" s="7">
        <f t="shared" si="3"/>
        <v>24.265538922281095</v>
      </c>
      <c r="G6" s="7">
        <f t="shared" si="4"/>
        <v>78.333611111111111</v>
      </c>
      <c r="H6" s="7">
        <f t="shared" si="5"/>
        <v>117.5209922558998</v>
      </c>
      <c r="I6" s="7">
        <f t="shared" si="6"/>
        <v>38.630000000000003</v>
      </c>
      <c r="J6" s="7">
        <f t="shared" si="7"/>
        <v>74.914645719970466</v>
      </c>
      <c r="K6" s="7">
        <f t="shared" si="8"/>
        <v>51.37</v>
      </c>
      <c r="L6" s="7">
        <f t="shared" si="9"/>
        <v>93.743244325398237</v>
      </c>
      <c r="M6" s="7">
        <v>90</v>
      </c>
      <c r="N6" s="7">
        <f t="shared" si="10"/>
        <v>120</v>
      </c>
      <c r="O6" s="7">
        <v>23.86</v>
      </c>
      <c r="P6" s="7">
        <f t="shared" si="11"/>
        <v>48.540386211892496</v>
      </c>
      <c r="Q6" s="7">
        <v>66.14</v>
      </c>
      <c r="R6" s="9">
        <f t="shared" si="12"/>
        <v>109.74438895178341</v>
      </c>
      <c r="S6" s="7">
        <f t="shared" si="13"/>
        <v>19.800788631785913</v>
      </c>
      <c r="T6" s="7">
        <f t="shared" si="14"/>
        <v>9.4976162454682047</v>
      </c>
      <c r="U6" s="7">
        <f t="shared" si="0"/>
        <v>56.018933298920956</v>
      </c>
      <c r="V6" s="9">
        <f t="shared" si="15"/>
        <v>27.828360982679396</v>
      </c>
      <c r="W6" s="6">
        <f t="shared" si="1"/>
        <v>18.330744737211191</v>
      </c>
    </row>
    <row r="7" spans="1:23" x14ac:dyDescent="0.25">
      <c r="A7" s="24" t="s">
        <v>120</v>
      </c>
      <c r="B7" s="11">
        <v>40</v>
      </c>
      <c r="C7" s="16">
        <f t="shared" si="16"/>
        <v>6.7386998440083943</v>
      </c>
      <c r="D7" s="65">
        <f t="shared" si="2"/>
        <v>25.069444581219585</v>
      </c>
      <c r="E7" s="7">
        <f>VLOOKUP(B7, Table_0[], 6)</f>
        <v>15.067777777777778</v>
      </c>
      <c r="F7" s="7">
        <f t="shared" si="3"/>
        <v>31.195380148924976</v>
      </c>
      <c r="G7" s="7">
        <f t="shared" si="4"/>
        <v>74.932222222222222</v>
      </c>
      <c r="H7" s="7">
        <f t="shared" si="5"/>
        <v>115.87427780730312</v>
      </c>
      <c r="I7" s="7">
        <f t="shared" si="6"/>
        <v>38.630000000000003</v>
      </c>
      <c r="J7" s="7">
        <f t="shared" si="7"/>
        <v>74.914645719970466</v>
      </c>
      <c r="K7" s="7">
        <f t="shared" si="8"/>
        <v>51.37</v>
      </c>
      <c r="L7" s="7">
        <f t="shared" si="9"/>
        <v>93.743244325398237</v>
      </c>
      <c r="M7" s="7">
        <v>90</v>
      </c>
      <c r="N7" s="7">
        <f t="shared" si="10"/>
        <v>120</v>
      </c>
      <c r="O7" s="7">
        <v>23.86</v>
      </c>
      <c r="P7" s="7">
        <f t="shared" si="11"/>
        <v>48.540386211892496</v>
      </c>
      <c r="Q7" s="7">
        <v>66.14</v>
      </c>
      <c r="R7" s="9">
        <f t="shared" si="12"/>
        <v>109.74438895178341</v>
      </c>
      <c r="S7" s="7">
        <f t="shared" si="13"/>
        <v>25.81732478328022</v>
      </c>
      <c r="T7" s="7">
        <f t="shared" si="14"/>
        <v>12.423997497756169</v>
      </c>
      <c r="U7" s="7">
        <f t="shared" si="0"/>
        <v>73.040474391484366</v>
      </c>
      <c r="V7" s="9">
        <f t="shared" si="15"/>
        <v>37.493442078975754</v>
      </c>
      <c r="W7" s="6">
        <f t="shared" si="1"/>
        <v>25.069444581219585</v>
      </c>
    </row>
    <row r="8" spans="1:23" x14ac:dyDescent="0.25">
      <c r="A8" s="24"/>
      <c r="B8" s="12">
        <v>50</v>
      </c>
      <c r="C8" s="13">
        <f t="shared" si="16"/>
        <v>7.2881768890707406</v>
      </c>
      <c r="D8" s="66">
        <f t="shared" si="2"/>
        <v>32.357621470290326</v>
      </c>
      <c r="E8" s="7">
        <f>VLOOKUP(B8, Table_0[], 6)</f>
        <v>18.048055555555557</v>
      </c>
      <c r="F8" s="7">
        <f t="shared" si="3"/>
        <v>37.177747560552248</v>
      </c>
      <c r="G8" s="7">
        <f t="shared" si="4"/>
        <v>71.95194444444445</v>
      </c>
      <c r="H8" s="7">
        <f t="shared" si="5"/>
        <v>114.09564008464062</v>
      </c>
      <c r="I8" s="7">
        <f t="shared" si="6"/>
        <v>38.630000000000003</v>
      </c>
      <c r="J8" s="7">
        <f t="shared" si="7"/>
        <v>74.914645719970466</v>
      </c>
      <c r="K8" s="7">
        <f t="shared" si="8"/>
        <v>51.37</v>
      </c>
      <c r="L8" s="7">
        <f t="shared" si="9"/>
        <v>93.743244325398237</v>
      </c>
      <c r="M8" s="7">
        <v>90</v>
      </c>
      <c r="N8" s="7">
        <f t="shared" si="10"/>
        <v>120</v>
      </c>
      <c r="O8" s="7">
        <v>23.86</v>
      </c>
      <c r="P8" s="7">
        <f t="shared" si="11"/>
        <v>48.540386211892496</v>
      </c>
      <c r="Q8" s="7">
        <v>66.14</v>
      </c>
      <c r="R8" s="9">
        <f t="shared" si="12"/>
        <v>109.74438895178341</v>
      </c>
      <c r="S8" s="7">
        <f t="shared" si="13"/>
        <v>31.247985281190928</v>
      </c>
      <c r="T8" s="7">
        <f t="shared" si="14"/>
        <v>15.093790767306334</v>
      </c>
      <c r="U8" s="7">
        <f t="shared" si="0"/>
        <v>88.404499221949209</v>
      </c>
      <c r="V8" s="9">
        <f t="shared" si="15"/>
        <v>47.451412237596656</v>
      </c>
      <c r="W8" s="6">
        <f t="shared" si="1"/>
        <v>32.357621470290326</v>
      </c>
    </row>
    <row r="9" spans="1:23" x14ac:dyDescent="0.25">
      <c r="A9" s="24"/>
      <c r="B9" s="14">
        <v>60</v>
      </c>
      <c r="C9" s="15">
        <f t="shared" si="16"/>
        <v>7.9725018301596222</v>
      </c>
      <c r="D9" s="67">
        <f t="shared" si="2"/>
        <v>40.330123300449948</v>
      </c>
      <c r="E9" s="7">
        <f>VLOOKUP(B9, Table_0[], 6)</f>
        <v>20.502500000000001</v>
      </c>
      <c r="F9" s="7">
        <f t="shared" si="3"/>
        <v>42.029790115244083</v>
      </c>
      <c r="G9" s="7">
        <f t="shared" si="4"/>
        <v>69.497500000000002</v>
      </c>
      <c r="H9" s="7">
        <f t="shared" si="5"/>
        <v>112.39882892125047</v>
      </c>
      <c r="I9" s="7">
        <f t="shared" si="6"/>
        <v>38.630000000000003</v>
      </c>
      <c r="J9" s="7">
        <f t="shared" si="7"/>
        <v>74.914645719970466</v>
      </c>
      <c r="K9" s="7">
        <f t="shared" si="8"/>
        <v>51.37</v>
      </c>
      <c r="L9" s="7">
        <f t="shared" si="9"/>
        <v>93.743244325398237</v>
      </c>
      <c r="M9" s="7">
        <v>90</v>
      </c>
      <c r="N9" s="7">
        <f t="shared" si="10"/>
        <v>120</v>
      </c>
      <c r="O9" s="7">
        <v>23.86</v>
      </c>
      <c r="P9" s="7">
        <f t="shared" si="11"/>
        <v>48.540386211892496</v>
      </c>
      <c r="Q9" s="7">
        <v>66.14</v>
      </c>
      <c r="R9" s="9">
        <f t="shared" si="12"/>
        <v>109.74438895178341</v>
      </c>
      <c r="S9" s="7">
        <f t="shared" si="13"/>
        <v>35.859434063051133</v>
      </c>
      <c r="T9" s="7">
        <f t="shared" si="14"/>
        <v>17.387260743536601</v>
      </c>
      <c r="U9" s="7">
        <f t="shared" si="0"/>
        <v>101.45087058251846</v>
      </c>
      <c r="V9" s="9">
        <f t="shared" si="15"/>
        <v>57.717384043986549</v>
      </c>
      <c r="W9" s="6">
        <f t="shared" si="1"/>
        <v>40.330123300449948</v>
      </c>
    </row>
    <row r="10" spans="1:23" x14ac:dyDescent="0.25">
      <c r="A10" s="24" t="s">
        <v>121</v>
      </c>
      <c r="B10" s="11">
        <v>70</v>
      </c>
      <c r="C10" s="16">
        <f t="shared" si="16"/>
        <v>8.770904940102028</v>
      </c>
      <c r="D10" s="65">
        <f t="shared" si="2"/>
        <v>49.101028240551976</v>
      </c>
      <c r="E10" s="7">
        <f>VLOOKUP(B10, Table_0[], 6)</f>
        <v>22.336388888888887</v>
      </c>
      <c r="F10" s="7">
        <f t="shared" si="3"/>
        <v>45.605242695881834</v>
      </c>
      <c r="G10" s="7">
        <f t="shared" si="4"/>
        <v>67.663611111111109</v>
      </c>
      <c r="H10" s="7">
        <f t="shared" si="5"/>
        <v>110.99622443421089</v>
      </c>
      <c r="I10" s="7">
        <f t="shared" si="6"/>
        <v>38.630000000000003</v>
      </c>
      <c r="J10" s="7">
        <f t="shared" si="7"/>
        <v>74.914645719970466</v>
      </c>
      <c r="K10" s="7">
        <f t="shared" si="8"/>
        <v>51.37</v>
      </c>
      <c r="L10" s="7">
        <f t="shared" si="9"/>
        <v>93.743244325398237</v>
      </c>
      <c r="M10" s="7">
        <v>90</v>
      </c>
      <c r="N10" s="7">
        <f t="shared" si="10"/>
        <v>120</v>
      </c>
      <c r="O10" s="7">
        <v>23.86</v>
      </c>
      <c r="P10" s="7">
        <f t="shared" si="11"/>
        <v>48.540386211892496</v>
      </c>
      <c r="Q10" s="7">
        <v>66.14</v>
      </c>
      <c r="R10" s="9">
        <f t="shared" si="12"/>
        <v>109.74438895178341</v>
      </c>
      <c r="S10" s="7">
        <f t="shared" si="13"/>
        <v>39.401663811579581</v>
      </c>
      <c r="T10" s="7">
        <f t="shared" si="14"/>
        <v>19.168487831395034</v>
      </c>
      <c r="U10" s="7">
        <f t="shared" si="0"/>
        <v>111.47228617875027</v>
      </c>
      <c r="V10" s="9">
        <f t="shared" si="15"/>
        <v>68.26951607194701</v>
      </c>
      <c r="W10" s="6">
        <f t="shared" si="1"/>
        <v>49.101028240551976</v>
      </c>
    </row>
    <row r="11" spans="1:23" x14ac:dyDescent="0.25">
      <c r="A11" s="24"/>
      <c r="B11" s="12">
        <v>80</v>
      </c>
      <c r="C11" s="13">
        <f t="shared" si="16"/>
        <v>9.6190337576414535</v>
      </c>
      <c r="D11" s="66">
        <f t="shared" si="2"/>
        <v>58.72006199819343</v>
      </c>
      <c r="E11" s="7">
        <f>VLOOKUP(B11, Table_0[], 6)</f>
        <v>23.47111111111111</v>
      </c>
      <c r="F11" s="7">
        <f t="shared" si="3"/>
        <v>47.794395702934004</v>
      </c>
      <c r="G11" s="7">
        <f t="shared" si="4"/>
        <v>66.528888888888886</v>
      </c>
      <c r="H11" s="7">
        <f t="shared" si="5"/>
        <v>110.07132114856877</v>
      </c>
      <c r="I11" s="7">
        <f t="shared" si="6"/>
        <v>38.630000000000003</v>
      </c>
      <c r="J11" s="7">
        <f t="shared" si="7"/>
        <v>74.914645719970466</v>
      </c>
      <c r="K11" s="7">
        <f t="shared" si="8"/>
        <v>51.37</v>
      </c>
      <c r="L11" s="7">
        <f t="shared" si="9"/>
        <v>93.743244325398237</v>
      </c>
      <c r="M11" s="7">
        <v>90</v>
      </c>
      <c r="N11" s="7">
        <f t="shared" si="10"/>
        <v>120</v>
      </c>
      <c r="O11" s="7">
        <v>23.86</v>
      </c>
      <c r="P11" s="7">
        <f t="shared" si="11"/>
        <v>48.540386211892496</v>
      </c>
      <c r="Q11" s="7">
        <v>66.14</v>
      </c>
      <c r="R11" s="9">
        <f t="shared" si="12"/>
        <v>109.74438895178341</v>
      </c>
      <c r="S11" s="7">
        <f t="shared" si="13"/>
        <v>41.640006822691717</v>
      </c>
      <c r="T11" s="7">
        <f t="shared" si="14"/>
        <v>20.303934578607937</v>
      </c>
      <c r="U11" s="7">
        <f t="shared" si="0"/>
        <v>117.8048414204294</v>
      </c>
      <c r="V11" s="9">
        <f t="shared" si="15"/>
        <v>79.023996576801366</v>
      </c>
      <c r="W11" s="6">
        <f t="shared" si="1"/>
        <v>58.72006199819343</v>
      </c>
    </row>
    <row r="12" spans="1:23" x14ac:dyDescent="0.25">
      <c r="A12" s="24"/>
      <c r="B12" s="14">
        <v>90</v>
      </c>
      <c r="C12" s="13">
        <f t="shared" si="16"/>
        <v>10.615044384785293</v>
      </c>
      <c r="D12" s="66">
        <f>H1/24*180</f>
        <v>69.335106382978722</v>
      </c>
      <c r="E12" s="7">
        <f>VLOOKUP(B12, Table_0[], 6)</f>
        <v>23.855555555555558</v>
      </c>
      <c r="F12" s="7">
        <f t="shared" si="3"/>
        <v>48.531873172873816</v>
      </c>
      <c r="G12" s="7">
        <f t="shared" si="4"/>
        <v>66.144444444444446</v>
      </c>
      <c r="H12" s="7">
        <f t="shared" si="5"/>
        <v>109.74815390853776</v>
      </c>
      <c r="I12" s="7">
        <f t="shared" si="6"/>
        <v>38.630000000000003</v>
      </c>
      <c r="J12" s="7">
        <f t="shared" si="7"/>
        <v>74.914645719970466</v>
      </c>
      <c r="K12" s="7">
        <f t="shared" si="8"/>
        <v>51.37</v>
      </c>
      <c r="L12" s="7">
        <f t="shared" si="9"/>
        <v>93.743244325398237</v>
      </c>
      <c r="M12" s="7">
        <v>90</v>
      </c>
      <c r="N12" s="7">
        <f t="shared" si="10"/>
        <v>120</v>
      </c>
      <c r="O12" s="7">
        <v>23.86</v>
      </c>
      <c r="P12" s="7">
        <f t="shared" si="11"/>
        <v>48.540386211892496</v>
      </c>
      <c r="Q12" s="7">
        <v>66.14</v>
      </c>
      <c r="R12" s="9">
        <f t="shared" si="12"/>
        <v>109.74438895178341</v>
      </c>
      <c r="S12" s="7">
        <f t="shared" si="13"/>
        <v>42.407026991213719</v>
      </c>
      <c r="T12" s="7">
        <f t="shared" si="14"/>
        <v>20.694919278576229</v>
      </c>
      <c r="U12" s="7">
        <f t="shared" si="0"/>
        <v>119.97483840683157</v>
      </c>
      <c r="V12" s="9">
        <f t="shared" si="15"/>
        <v>88.82666057335382</v>
      </c>
      <c r="W12" s="6">
        <f t="shared" si="1"/>
        <v>68.131741294777584</v>
      </c>
    </row>
    <row r="13" spans="1:23" x14ac:dyDescent="0.25">
      <c r="A13" s="25" t="s">
        <v>122</v>
      </c>
      <c r="B13" s="11">
        <v>100</v>
      </c>
      <c r="C13" s="16">
        <f>2*VLOOKUP(B12, Table_0__2[], 6)-C12</f>
        <v>11.218288948548039</v>
      </c>
      <c r="D13" s="65">
        <f>D12+C13</f>
        <v>80.553395331526758</v>
      </c>
    </row>
    <row r="14" spans="1:23" x14ac:dyDescent="0.25">
      <c r="A14" s="26"/>
      <c r="B14" s="12">
        <v>110</v>
      </c>
      <c r="C14" s="13">
        <f>2*VLOOKUP(B11, Table_0__2[], 6)-C11</f>
        <v>11.947632909025213</v>
      </c>
      <c r="D14" s="66">
        <f t="shared" ref="D14:D39" si="17">D13+C14</f>
        <v>92.501028240551975</v>
      </c>
    </row>
    <row r="15" spans="1:23" x14ac:dyDescent="0.25">
      <c r="A15" s="27"/>
      <c r="B15" s="14">
        <v>120</v>
      </c>
      <c r="C15" s="15">
        <f>2*VLOOKUP(B10, Table_0__2[], 6)-C10</f>
        <v>12.362428393231305</v>
      </c>
      <c r="D15" s="67">
        <f t="shared" si="17"/>
        <v>104.86345663378327</v>
      </c>
    </row>
    <row r="16" spans="1:23" x14ac:dyDescent="0.25">
      <c r="A16" s="25" t="s">
        <v>123</v>
      </c>
      <c r="B16" s="11">
        <v>130</v>
      </c>
      <c r="C16" s="16">
        <f>2*VLOOKUP(B9, Table_0__2[], 6)-C9</f>
        <v>12.560831503173713</v>
      </c>
      <c r="D16" s="65">
        <f t="shared" si="17"/>
        <v>117.42428813695699</v>
      </c>
    </row>
    <row r="17" spans="1:4" x14ac:dyDescent="0.25">
      <c r="A17" s="26"/>
      <c r="B17" s="12">
        <v>140</v>
      </c>
      <c r="C17" s="13">
        <f>2*VLOOKUP(B8, Table_0__2[], 6)-C8</f>
        <v>12.645156444262593</v>
      </c>
      <c r="D17" s="66">
        <f t="shared" si="17"/>
        <v>130.06944458121959</v>
      </c>
    </row>
    <row r="18" spans="1:4" x14ac:dyDescent="0.25">
      <c r="A18" s="27"/>
      <c r="B18" s="14">
        <v>150</v>
      </c>
      <c r="C18" s="15">
        <f>2*VLOOKUP(B7, Table_0__2[], 6)-C7</f>
        <v>12.594633489324938</v>
      </c>
      <c r="D18" s="67">
        <f t="shared" si="17"/>
        <v>142.66407807054452</v>
      </c>
    </row>
    <row r="19" spans="1:4" x14ac:dyDescent="0.25">
      <c r="A19" s="25" t="s">
        <v>124</v>
      </c>
      <c r="B19" s="11">
        <v>160</v>
      </c>
      <c r="C19" s="16">
        <f>2*VLOOKUP(B6, Table_0__2[], 6)-C6</f>
        <v>12.501488154127074</v>
      </c>
      <c r="D19" s="65">
        <f t="shared" si="17"/>
        <v>155.16556622467158</v>
      </c>
    </row>
    <row r="20" spans="1:4" x14ac:dyDescent="0.25">
      <c r="A20" s="26"/>
      <c r="B20" s="12">
        <v>170</v>
      </c>
      <c r="C20" s="13">
        <f>2*VLOOKUP(B5, Table_0__2[], 6)-C5</f>
        <v>12.434825808638521</v>
      </c>
      <c r="D20" s="66">
        <f t="shared" si="17"/>
        <v>167.6003920333101</v>
      </c>
    </row>
    <row r="21" spans="1:4" x14ac:dyDescent="0.25">
      <c r="A21" s="27"/>
      <c r="B21" s="14">
        <v>180</v>
      </c>
      <c r="C21" s="15">
        <f>2*VLOOKUP(B4, Table_0__2[], 6)-C4</f>
        <v>12.399607966689878</v>
      </c>
      <c r="D21" s="67">
        <f t="shared" si="17"/>
        <v>179.99999999999997</v>
      </c>
    </row>
    <row r="22" spans="1:4" x14ac:dyDescent="0.25">
      <c r="A22" s="25" t="s">
        <v>125</v>
      </c>
      <c r="B22" s="11">
        <v>190</v>
      </c>
      <c r="C22" s="16">
        <f>C21</f>
        <v>12.399607966689878</v>
      </c>
      <c r="D22" s="65">
        <f t="shared" si="17"/>
        <v>192.39960796668984</v>
      </c>
    </row>
    <row r="23" spans="1:4" x14ac:dyDescent="0.25">
      <c r="A23" s="26"/>
      <c r="B23" s="12">
        <v>200</v>
      </c>
      <c r="C23" s="13">
        <f>C20</f>
        <v>12.434825808638521</v>
      </c>
      <c r="D23" s="66">
        <f t="shared" si="17"/>
        <v>204.83443377532836</v>
      </c>
    </row>
    <row r="24" spans="1:4" x14ac:dyDescent="0.25">
      <c r="A24" s="27"/>
      <c r="B24" s="14">
        <v>210</v>
      </c>
      <c r="C24" s="15">
        <f>C19</f>
        <v>12.501488154127074</v>
      </c>
      <c r="D24" s="67">
        <f t="shared" si="17"/>
        <v>217.33592192945542</v>
      </c>
    </row>
    <row r="25" spans="1:4" x14ac:dyDescent="0.25">
      <c r="A25" s="25" t="s">
        <v>126</v>
      </c>
      <c r="B25" s="11">
        <v>220</v>
      </c>
      <c r="C25" s="16">
        <f>C18</f>
        <v>12.594633489324938</v>
      </c>
      <c r="D25" s="65">
        <f t="shared" si="17"/>
        <v>229.93055541878036</v>
      </c>
    </row>
    <row r="26" spans="1:4" x14ac:dyDescent="0.25">
      <c r="A26" s="26"/>
      <c r="B26" s="12">
        <v>230</v>
      </c>
      <c r="C26" s="13">
        <f>C17</f>
        <v>12.645156444262593</v>
      </c>
      <c r="D26" s="66">
        <f t="shared" si="17"/>
        <v>242.57571186304295</v>
      </c>
    </row>
    <row r="27" spans="1:4" x14ac:dyDescent="0.25">
      <c r="A27" s="27"/>
      <c r="B27" s="14">
        <v>240</v>
      </c>
      <c r="C27" s="15">
        <f>C16</f>
        <v>12.560831503173713</v>
      </c>
      <c r="D27" s="67">
        <f t="shared" si="17"/>
        <v>255.13654336621667</v>
      </c>
    </row>
    <row r="28" spans="1:4" x14ac:dyDescent="0.25">
      <c r="A28" s="24" t="s">
        <v>127</v>
      </c>
      <c r="B28" s="11">
        <v>250</v>
      </c>
      <c r="C28" s="16">
        <f>C15</f>
        <v>12.362428393231305</v>
      </c>
      <c r="D28" s="65">
        <f t="shared" si="17"/>
        <v>267.49897175944795</v>
      </c>
    </row>
    <row r="29" spans="1:4" x14ac:dyDescent="0.25">
      <c r="A29" s="24"/>
      <c r="B29" s="12">
        <v>260</v>
      </c>
      <c r="C29" s="13">
        <f>C14</f>
        <v>11.947632909025213</v>
      </c>
      <c r="D29" s="66">
        <f t="shared" si="17"/>
        <v>279.44660466847319</v>
      </c>
    </row>
    <row r="30" spans="1:4" x14ac:dyDescent="0.25">
      <c r="A30" s="24"/>
      <c r="B30" s="14">
        <v>270</v>
      </c>
      <c r="C30" s="15">
        <f>C13</f>
        <v>11.218288948548039</v>
      </c>
      <c r="D30" s="67">
        <f t="shared" si="17"/>
        <v>290.66489361702122</v>
      </c>
    </row>
    <row r="31" spans="1:4" x14ac:dyDescent="0.25">
      <c r="A31" s="24" t="s">
        <v>155</v>
      </c>
      <c r="B31" s="11">
        <v>280</v>
      </c>
      <c r="C31" s="16">
        <f>C12</f>
        <v>10.615044384785293</v>
      </c>
      <c r="D31" s="65">
        <f t="shared" si="17"/>
        <v>301.2799380018065</v>
      </c>
    </row>
    <row r="32" spans="1:4" x14ac:dyDescent="0.25">
      <c r="A32" s="24"/>
      <c r="B32" s="12">
        <v>290</v>
      </c>
      <c r="C32" s="13">
        <f>C11</f>
        <v>9.6190337576414535</v>
      </c>
      <c r="D32" s="66">
        <f t="shared" si="17"/>
        <v>310.89897175944793</v>
      </c>
    </row>
    <row r="33" spans="1:4" x14ac:dyDescent="0.25">
      <c r="A33" s="24"/>
      <c r="B33" s="14">
        <v>300</v>
      </c>
      <c r="C33" s="15">
        <f>C10</f>
        <v>8.770904940102028</v>
      </c>
      <c r="D33" s="67">
        <f t="shared" si="17"/>
        <v>319.66987669954995</v>
      </c>
    </row>
    <row r="34" spans="1:4" x14ac:dyDescent="0.25">
      <c r="A34" s="24" t="s">
        <v>128</v>
      </c>
      <c r="B34" s="11">
        <v>310</v>
      </c>
      <c r="C34" s="16">
        <f>C9</f>
        <v>7.9725018301596222</v>
      </c>
      <c r="D34" s="65">
        <f t="shared" si="17"/>
        <v>327.64237852970956</v>
      </c>
    </row>
    <row r="35" spans="1:4" x14ac:dyDescent="0.25">
      <c r="A35" s="24"/>
      <c r="B35" s="12">
        <v>320</v>
      </c>
      <c r="C35" s="13">
        <f>C8</f>
        <v>7.2881768890707406</v>
      </c>
      <c r="D35" s="66">
        <f t="shared" si="17"/>
        <v>334.93055541878027</v>
      </c>
    </row>
    <row r="36" spans="1:4" x14ac:dyDescent="0.25">
      <c r="A36" s="24"/>
      <c r="B36" s="14">
        <v>330</v>
      </c>
      <c r="C36" s="15">
        <f>C7</f>
        <v>6.7386998440083943</v>
      </c>
      <c r="D36" s="67">
        <f t="shared" si="17"/>
        <v>341.66925526278868</v>
      </c>
    </row>
    <row r="37" spans="1:4" x14ac:dyDescent="0.25">
      <c r="A37" s="24" t="s">
        <v>129</v>
      </c>
      <c r="B37" s="11">
        <v>340</v>
      </c>
      <c r="C37" s="16">
        <f>C6</f>
        <v>6.3318451792062582</v>
      </c>
      <c r="D37" s="65">
        <f t="shared" si="17"/>
        <v>348.00110044199494</v>
      </c>
    </row>
    <row r="38" spans="1:4" x14ac:dyDescent="0.25">
      <c r="A38" s="24"/>
      <c r="B38" s="12">
        <v>350</v>
      </c>
      <c r="C38" s="13">
        <f>C5</f>
        <v>6.0651741913614785</v>
      </c>
      <c r="D38" s="66">
        <f t="shared" si="17"/>
        <v>354.06627463335644</v>
      </c>
    </row>
    <row r="39" spans="1:4" ht="15.75" thickBot="1" x14ac:dyDescent="0.3">
      <c r="A39" s="71"/>
      <c r="B39" s="68">
        <v>360</v>
      </c>
      <c r="C39" s="69">
        <f>C4</f>
        <v>5.9337253666434542</v>
      </c>
      <c r="D39" s="70">
        <f t="shared" si="17"/>
        <v>359.99999999999989</v>
      </c>
    </row>
    <row r="40" spans="1:4" ht="15.75" thickTop="1" x14ac:dyDescent="0.25"/>
  </sheetData>
  <sheetProtection algorithmName="SHA-512" hashValue="NBRiCn1hyPL4m+QmANkuzCqqPRLQomTXy6DBlSDdby4oOQbKxQIWsOMTY0ZMYM2jOkx9YOCTvqCcsJvIyiKSgQ==" saltValue="6X9VDkKHAvmzqvkU1ka7JA==" spinCount="100000" sheet="1" objects="1" scenarios="1"/>
  <mergeCells count="12">
    <mergeCell ref="A28:A30"/>
    <mergeCell ref="A31:A33"/>
    <mergeCell ref="A34:A36"/>
    <mergeCell ref="A37:A39"/>
    <mergeCell ref="A4:A6"/>
    <mergeCell ref="A7:A9"/>
    <mergeCell ref="A10:A12"/>
    <mergeCell ref="A19:A21"/>
    <mergeCell ref="A16:A18"/>
    <mergeCell ref="A13:A15"/>
    <mergeCell ref="A22:A24"/>
    <mergeCell ref="A25:A27"/>
  </mergeCells>
  <pageMargins left="0.7" right="0.7" top="0.75" bottom="0.75" header="0.3" footer="0.3"/>
  <pageSetup orientation="portrait" r:id="rId1"/>
  <ignoredErrors>
    <ignoredError sqref="K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553AD-45C6-487F-8097-8CCB2EEEAC5B}">
  <dimension ref="A1:F366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3" max="3" width="14.5703125" customWidth="1"/>
    <col min="4" max="4" width="10.28515625" bestFit="1" customWidth="1"/>
    <col min="5" max="5" width="12.85546875" customWidth="1"/>
    <col min="6" max="6" width="11.5703125" customWidth="1"/>
  </cols>
  <sheetData>
    <row r="1" spans="1:6" ht="30" x14ac:dyDescent="0.25">
      <c r="A1" s="56" t="s">
        <v>156</v>
      </c>
      <c r="B1" s="57" t="s">
        <v>157</v>
      </c>
      <c r="C1" s="57" t="s">
        <v>158</v>
      </c>
      <c r="D1" s="58" t="s">
        <v>1</v>
      </c>
      <c r="E1" s="57" t="s">
        <v>159</v>
      </c>
      <c r="F1" s="59" t="s">
        <v>725</v>
      </c>
    </row>
    <row r="2" spans="1:6" x14ac:dyDescent="0.25">
      <c r="A2" s="54">
        <v>43545</v>
      </c>
      <c r="B2" s="1">
        <v>0</v>
      </c>
      <c r="C2" s="1">
        <f>B2/365*360</f>
        <v>0</v>
      </c>
      <c r="D2" s="1" t="s">
        <v>9</v>
      </c>
      <c r="E2" s="1">
        <f>C2</f>
        <v>0</v>
      </c>
      <c r="F2" s="55">
        <f>Table1[[#This Row],[Degrees Into Sign]]/30</f>
        <v>0</v>
      </c>
    </row>
    <row r="3" spans="1:6" x14ac:dyDescent="0.25">
      <c r="A3" s="54">
        <v>43546</v>
      </c>
      <c r="B3" s="1">
        <v>1</v>
      </c>
      <c r="C3" s="1">
        <f t="shared" ref="C3:C66" si="0">B3/365*360</f>
        <v>0.98630136986301375</v>
      </c>
      <c r="D3" s="1" t="s">
        <v>9</v>
      </c>
      <c r="E3" s="1">
        <f t="shared" ref="E3:E32" si="1">C3</f>
        <v>0.98630136986301375</v>
      </c>
      <c r="F3" s="55">
        <f>Table1[[#This Row],[Degrees Into Sign]]/30</f>
        <v>3.2876712328767127E-2</v>
      </c>
    </row>
    <row r="4" spans="1:6" x14ac:dyDescent="0.25">
      <c r="A4" s="54">
        <v>43547</v>
      </c>
      <c r="B4" s="1">
        <v>2</v>
      </c>
      <c r="C4" s="1">
        <f t="shared" si="0"/>
        <v>1.9726027397260275</v>
      </c>
      <c r="D4" s="1" t="s">
        <v>9</v>
      </c>
      <c r="E4" s="1">
        <f t="shared" si="1"/>
        <v>1.9726027397260275</v>
      </c>
      <c r="F4" s="55">
        <f>Table1[[#This Row],[Degrees Into Sign]]/30</f>
        <v>6.5753424657534254E-2</v>
      </c>
    </row>
    <row r="5" spans="1:6" x14ac:dyDescent="0.25">
      <c r="A5" s="54">
        <v>43548</v>
      </c>
      <c r="B5" s="1">
        <v>3</v>
      </c>
      <c r="C5" s="1">
        <f t="shared" si="0"/>
        <v>2.9589041095890409</v>
      </c>
      <c r="D5" s="1" t="s">
        <v>9</v>
      </c>
      <c r="E5" s="1">
        <f t="shared" si="1"/>
        <v>2.9589041095890409</v>
      </c>
      <c r="F5" s="55">
        <f>Table1[[#This Row],[Degrees Into Sign]]/30</f>
        <v>9.8630136986301367E-2</v>
      </c>
    </row>
    <row r="6" spans="1:6" x14ac:dyDescent="0.25">
      <c r="A6" s="54">
        <v>43549</v>
      </c>
      <c r="B6" s="1">
        <v>4</v>
      </c>
      <c r="C6" s="1">
        <f t="shared" si="0"/>
        <v>3.945205479452055</v>
      </c>
      <c r="D6" s="1" t="s">
        <v>9</v>
      </c>
      <c r="E6" s="1">
        <f t="shared" si="1"/>
        <v>3.945205479452055</v>
      </c>
      <c r="F6" s="55">
        <f>Table1[[#This Row],[Degrees Into Sign]]/30</f>
        <v>0.13150684931506851</v>
      </c>
    </row>
    <row r="7" spans="1:6" x14ac:dyDescent="0.25">
      <c r="A7" s="54">
        <v>43550</v>
      </c>
      <c r="B7" s="1">
        <v>5</v>
      </c>
      <c r="C7" s="1">
        <f t="shared" si="0"/>
        <v>4.9315068493150687</v>
      </c>
      <c r="D7" s="1" t="s">
        <v>9</v>
      </c>
      <c r="E7" s="1">
        <f t="shared" si="1"/>
        <v>4.9315068493150687</v>
      </c>
      <c r="F7" s="55">
        <f>Table1[[#This Row],[Degrees Into Sign]]/30</f>
        <v>0.16438356164383564</v>
      </c>
    </row>
    <row r="8" spans="1:6" x14ac:dyDescent="0.25">
      <c r="A8" s="54">
        <v>43551</v>
      </c>
      <c r="B8" s="1">
        <v>6</v>
      </c>
      <c r="C8" s="1">
        <f t="shared" si="0"/>
        <v>5.9178082191780819</v>
      </c>
      <c r="D8" s="1" t="s">
        <v>9</v>
      </c>
      <c r="E8" s="1">
        <f t="shared" si="1"/>
        <v>5.9178082191780819</v>
      </c>
      <c r="F8" s="55">
        <f>Table1[[#This Row],[Degrees Into Sign]]/30</f>
        <v>0.19726027397260273</v>
      </c>
    </row>
    <row r="9" spans="1:6" x14ac:dyDescent="0.25">
      <c r="A9" s="54">
        <v>43552</v>
      </c>
      <c r="B9" s="1">
        <v>7</v>
      </c>
      <c r="C9" s="1">
        <f t="shared" si="0"/>
        <v>6.904109589041096</v>
      </c>
      <c r="D9" s="1" t="s">
        <v>9</v>
      </c>
      <c r="E9" s="1">
        <f t="shared" si="1"/>
        <v>6.904109589041096</v>
      </c>
      <c r="F9" s="55">
        <f>Table1[[#This Row],[Degrees Into Sign]]/30</f>
        <v>0.23013698630136986</v>
      </c>
    </row>
    <row r="10" spans="1:6" x14ac:dyDescent="0.25">
      <c r="A10" s="54">
        <v>43553</v>
      </c>
      <c r="B10" s="1">
        <v>8</v>
      </c>
      <c r="C10" s="1">
        <f t="shared" si="0"/>
        <v>7.89041095890411</v>
      </c>
      <c r="D10" s="1" t="s">
        <v>9</v>
      </c>
      <c r="E10" s="1">
        <f t="shared" si="1"/>
        <v>7.89041095890411</v>
      </c>
      <c r="F10" s="55">
        <f>Table1[[#This Row],[Degrees Into Sign]]/30</f>
        <v>0.26301369863013702</v>
      </c>
    </row>
    <row r="11" spans="1:6" x14ac:dyDescent="0.25">
      <c r="A11" s="54">
        <v>43554</v>
      </c>
      <c r="B11" s="1">
        <v>9</v>
      </c>
      <c r="C11" s="1">
        <f t="shared" si="0"/>
        <v>8.8767123287671232</v>
      </c>
      <c r="D11" s="1" t="s">
        <v>9</v>
      </c>
      <c r="E11" s="1">
        <f t="shared" si="1"/>
        <v>8.8767123287671232</v>
      </c>
      <c r="F11" s="55">
        <f>Table1[[#This Row],[Degrees Into Sign]]/30</f>
        <v>0.29589041095890412</v>
      </c>
    </row>
    <row r="12" spans="1:6" x14ac:dyDescent="0.25">
      <c r="A12" s="54">
        <v>43555</v>
      </c>
      <c r="B12" s="1">
        <v>10</v>
      </c>
      <c r="C12" s="1">
        <f t="shared" si="0"/>
        <v>9.8630136986301373</v>
      </c>
      <c r="D12" s="1" t="s">
        <v>9</v>
      </c>
      <c r="E12" s="1">
        <f t="shared" si="1"/>
        <v>9.8630136986301373</v>
      </c>
      <c r="F12" s="55">
        <f>Table1[[#This Row],[Degrees Into Sign]]/30</f>
        <v>0.32876712328767127</v>
      </c>
    </row>
    <row r="13" spans="1:6" x14ac:dyDescent="0.25">
      <c r="A13" s="54">
        <v>43556</v>
      </c>
      <c r="B13" s="1">
        <v>11</v>
      </c>
      <c r="C13" s="1">
        <f t="shared" si="0"/>
        <v>10.849315068493151</v>
      </c>
      <c r="D13" s="1" t="s">
        <v>9</v>
      </c>
      <c r="E13" s="1">
        <f t="shared" si="1"/>
        <v>10.849315068493151</v>
      </c>
      <c r="F13" s="55">
        <f>Table1[[#This Row],[Degrees Into Sign]]/30</f>
        <v>0.36164383561643837</v>
      </c>
    </row>
    <row r="14" spans="1:6" x14ac:dyDescent="0.25">
      <c r="A14" s="54">
        <v>43557</v>
      </c>
      <c r="B14" s="1">
        <v>12</v>
      </c>
      <c r="C14" s="1">
        <f t="shared" si="0"/>
        <v>11.835616438356164</v>
      </c>
      <c r="D14" s="1" t="s">
        <v>9</v>
      </c>
      <c r="E14" s="1">
        <f t="shared" si="1"/>
        <v>11.835616438356164</v>
      </c>
      <c r="F14" s="55">
        <f>Table1[[#This Row],[Degrees Into Sign]]/30</f>
        <v>0.39452054794520547</v>
      </c>
    </row>
    <row r="15" spans="1:6" x14ac:dyDescent="0.25">
      <c r="A15" s="54">
        <v>43558</v>
      </c>
      <c r="B15" s="1">
        <v>13</v>
      </c>
      <c r="C15" s="1">
        <f t="shared" si="0"/>
        <v>12.821917808219178</v>
      </c>
      <c r="D15" s="1" t="s">
        <v>9</v>
      </c>
      <c r="E15" s="1">
        <f t="shared" si="1"/>
        <v>12.821917808219178</v>
      </c>
      <c r="F15" s="55">
        <f>Table1[[#This Row],[Degrees Into Sign]]/30</f>
        <v>0.42739726027397257</v>
      </c>
    </row>
    <row r="16" spans="1:6" x14ac:dyDescent="0.25">
      <c r="A16" s="54">
        <v>43559</v>
      </c>
      <c r="B16" s="1">
        <v>14</v>
      </c>
      <c r="C16" s="1">
        <f t="shared" si="0"/>
        <v>13.808219178082192</v>
      </c>
      <c r="D16" s="1" t="s">
        <v>9</v>
      </c>
      <c r="E16" s="1">
        <f t="shared" si="1"/>
        <v>13.808219178082192</v>
      </c>
      <c r="F16" s="55">
        <f>Table1[[#This Row],[Degrees Into Sign]]/30</f>
        <v>0.46027397260273972</v>
      </c>
    </row>
    <row r="17" spans="1:6" x14ac:dyDescent="0.25">
      <c r="A17" s="54">
        <v>43560</v>
      </c>
      <c r="B17" s="1">
        <v>15</v>
      </c>
      <c r="C17" s="1">
        <f t="shared" si="0"/>
        <v>14.794520547945204</v>
      </c>
      <c r="D17" s="1" t="s">
        <v>9</v>
      </c>
      <c r="E17" s="1">
        <f t="shared" si="1"/>
        <v>14.794520547945204</v>
      </c>
      <c r="F17" s="55">
        <f>Table1[[#This Row],[Degrees Into Sign]]/30</f>
        <v>0.49315068493150682</v>
      </c>
    </row>
    <row r="18" spans="1:6" x14ac:dyDescent="0.25">
      <c r="A18" s="54">
        <v>43561</v>
      </c>
      <c r="B18" s="1">
        <v>16</v>
      </c>
      <c r="C18" s="1">
        <f t="shared" si="0"/>
        <v>15.78082191780822</v>
      </c>
      <c r="D18" s="1" t="s">
        <v>9</v>
      </c>
      <c r="E18" s="1">
        <f t="shared" si="1"/>
        <v>15.78082191780822</v>
      </c>
      <c r="F18" s="55">
        <f>Table1[[#This Row],[Degrees Into Sign]]/30</f>
        <v>0.52602739726027403</v>
      </c>
    </row>
    <row r="19" spans="1:6" x14ac:dyDescent="0.25">
      <c r="A19" s="54">
        <v>43562</v>
      </c>
      <c r="B19" s="1">
        <v>17</v>
      </c>
      <c r="C19" s="1">
        <f t="shared" si="0"/>
        <v>16.767123287671232</v>
      </c>
      <c r="D19" s="1" t="s">
        <v>9</v>
      </c>
      <c r="E19" s="1">
        <f t="shared" si="1"/>
        <v>16.767123287671232</v>
      </c>
      <c r="F19" s="55">
        <f>Table1[[#This Row],[Degrees Into Sign]]/30</f>
        <v>0.55890410958904113</v>
      </c>
    </row>
    <row r="20" spans="1:6" x14ac:dyDescent="0.25">
      <c r="A20" s="54">
        <v>43563</v>
      </c>
      <c r="B20" s="1">
        <v>18</v>
      </c>
      <c r="C20" s="1">
        <f t="shared" si="0"/>
        <v>17.753424657534246</v>
      </c>
      <c r="D20" s="1" t="s">
        <v>9</v>
      </c>
      <c r="E20" s="1">
        <f t="shared" si="1"/>
        <v>17.753424657534246</v>
      </c>
      <c r="F20" s="55">
        <f>Table1[[#This Row],[Degrees Into Sign]]/30</f>
        <v>0.59178082191780823</v>
      </c>
    </row>
    <row r="21" spans="1:6" x14ac:dyDescent="0.25">
      <c r="A21" s="54">
        <v>43564</v>
      </c>
      <c r="B21" s="1">
        <v>19</v>
      </c>
      <c r="C21" s="1">
        <f t="shared" si="0"/>
        <v>18.739726027397261</v>
      </c>
      <c r="D21" s="1" t="s">
        <v>9</v>
      </c>
      <c r="E21" s="1">
        <f t="shared" si="1"/>
        <v>18.739726027397261</v>
      </c>
      <c r="F21" s="55">
        <f>Table1[[#This Row],[Degrees Into Sign]]/30</f>
        <v>0.62465753424657533</v>
      </c>
    </row>
    <row r="22" spans="1:6" x14ac:dyDescent="0.25">
      <c r="A22" s="54">
        <v>43565</v>
      </c>
      <c r="B22" s="1">
        <v>20</v>
      </c>
      <c r="C22" s="1">
        <f t="shared" si="0"/>
        <v>19.726027397260275</v>
      </c>
      <c r="D22" s="1" t="s">
        <v>9</v>
      </c>
      <c r="E22" s="1">
        <f t="shared" si="1"/>
        <v>19.726027397260275</v>
      </c>
      <c r="F22" s="55">
        <f>Table1[[#This Row],[Degrees Into Sign]]/30</f>
        <v>0.65753424657534254</v>
      </c>
    </row>
    <row r="23" spans="1:6" x14ac:dyDescent="0.25">
      <c r="A23" s="54">
        <v>43566</v>
      </c>
      <c r="B23" s="1">
        <v>21</v>
      </c>
      <c r="C23" s="1">
        <f t="shared" si="0"/>
        <v>20.712328767123289</v>
      </c>
      <c r="D23" s="1" t="s">
        <v>9</v>
      </c>
      <c r="E23" s="1">
        <f t="shared" si="1"/>
        <v>20.712328767123289</v>
      </c>
      <c r="F23" s="55">
        <f>Table1[[#This Row],[Degrees Into Sign]]/30</f>
        <v>0.69041095890410964</v>
      </c>
    </row>
    <row r="24" spans="1:6" x14ac:dyDescent="0.25">
      <c r="A24" s="54">
        <v>43567</v>
      </c>
      <c r="B24" s="1">
        <v>22</v>
      </c>
      <c r="C24" s="1">
        <f t="shared" si="0"/>
        <v>21.698630136986303</v>
      </c>
      <c r="D24" s="1" t="s">
        <v>9</v>
      </c>
      <c r="E24" s="1">
        <f t="shared" si="1"/>
        <v>21.698630136986303</v>
      </c>
      <c r="F24" s="55">
        <f>Table1[[#This Row],[Degrees Into Sign]]/30</f>
        <v>0.72328767123287674</v>
      </c>
    </row>
    <row r="25" spans="1:6" x14ac:dyDescent="0.25">
      <c r="A25" s="54">
        <v>43568</v>
      </c>
      <c r="B25" s="1">
        <v>23</v>
      </c>
      <c r="C25" s="1">
        <f t="shared" si="0"/>
        <v>22.684931506849317</v>
      </c>
      <c r="D25" s="1" t="s">
        <v>9</v>
      </c>
      <c r="E25" s="1">
        <f t="shared" si="1"/>
        <v>22.684931506849317</v>
      </c>
      <c r="F25" s="55">
        <f>Table1[[#This Row],[Degrees Into Sign]]/30</f>
        <v>0.75616438356164395</v>
      </c>
    </row>
    <row r="26" spans="1:6" x14ac:dyDescent="0.25">
      <c r="A26" s="54">
        <v>43569</v>
      </c>
      <c r="B26" s="1">
        <v>24</v>
      </c>
      <c r="C26" s="1">
        <f t="shared" si="0"/>
        <v>23.671232876712327</v>
      </c>
      <c r="D26" s="1" t="s">
        <v>9</v>
      </c>
      <c r="E26" s="1">
        <f t="shared" si="1"/>
        <v>23.671232876712327</v>
      </c>
      <c r="F26" s="55">
        <f>Table1[[#This Row],[Degrees Into Sign]]/30</f>
        <v>0.78904109589041094</v>
      </c>
    </row>
    <row r="27" spans="1:6" x14ac:dyDescent="0.25">
      <c r="A27" s="54">
        <v>43570</v>
      </c>
      <c r="B27" s="1">
        <v>25</v>
      </c>
      <c r="C27" s="1">
        <f t="shared" si="0"/>
        <v>24.657534246575342</v>
      </c>
      <c r="D27" s="1" t="s">
        <v>9</v>
      </c>
      <c r="E27" s="1">
        <f t="shared" si="1"/>
        <v>24.657534246575342</v>
      </c>
      <c r="F27" s="55">
        <f>Table1[[#This Row],[Degrees Into Sign]]/30</f>
        <v>0.82191780821917804</v>
      </c>
    </row>
    <row r="28" spans="1:6" x14ac:dyDescent="0.25">
      <c r="A28" s="54">
        <v>43571</v>
      </c>
      <c r="B28" s="1">
        <v>26</v>
      </c>
      <c r="C28" s="1">
        <f t="shared" si="0"/>
        <v>25.643835616438356</v>
      </c>
      <c r="D28" s="1" t="s">
        <v>9</v>
      </c>
      <c r="E28" s="1">
        <f t="shared" si="1"/>
        <v>25.643835616438356</v>
      </c>
      <c r="F28" s="55">
        <f>Table1[[#This Row],[Degrees Into Sign]]/30</f>
        <v>0.85479452054794514</v>
      </c>
    </row>
    <row r="29" spans="1:6" x14ac:dyDescent="0.25">
      <c r="A29" s="54">
        <v>43572</v>
      </c>
      <c r="B29" s="1">
        <v>27</v>
      </c>
      <c r="C29" s="1">
        <f t="shared" si="0"/>
        <v>26.63013698630137</v>
      </c>
      <c r="D29" s="1" t="s">
        <v>9</v>
      </c>
      <c r="E29" s="1">
        <f t="shared" si="1"/>
        <v>26.63013698630137</v>
      </c>
      <c r="F29" s="55">
        <f>Table1[[#This Row],[Degrees Into Sign]]/30</f>
        <v>0.88767123287671235</v>
      </c>
    </row>
    <row r="30" spans="1:6" x14ac:dyDescent="0.25">
      <c r="A30" s="54">
        <v>43573</v>
      </c>
      <c r="B30" s="1">
        <v>28</v>
      </c>
      <c r="C30" s="1">
        <f t="shared" si="0"/>
        <v>27.616438356164384</v>
      </c>
      <c r="D30" s="1" t="s">
        <v>9</v>
      </c>
      <c r="E30" s="1">
        <f t="shared" si="1"/>
        <v>27.616438356164384</v>
      </c>
      <c r="F30" s="55">
        <f>Table1[[#This Row],[Degrees Into Sign]]/30</f>
        <v>0.92054794520547945</v>
      </c>
    </row>
    <row r="31" spans="1:6" x14ac:dyDescent="0.25">
      <c r="A31" s="54">
        <v>43574</v>
      </c>
      <c r="B31" s="1">
        <v>29</v>
      </c>
      <c r="C31" s="1">
        <f t="shared" si="0"/>
        <v>28.602739726027401</v>
      </c>
      <c r="D31" s="1" t="s">
        <v>9</v>
      </c>
      <c r="E31" s="1">
        <f t="shared" si="1"/>
        <v>28.602739726027401</v>
      </c>
      <c r="F31" s="55">
        <f>Table1[[#This Row],[Degrees Into Sign]]/30</f>
        <v>0.95342465753424677</v>
      </c>
    </row>
    <row r="32" spans="1:6" x14ac:dyDescent="0.25">
      <c r="A32" s="54">
        <v>43575</v>
      </c>
      <c r="B32" s="1">
        <v>30</v>
      </c>
      <c r="C32" s="1">
        <f t="shared" si="0"/>
        <v>29.589041095890408</v>
      </c>
      <c r="D32" s="1" t="s">
        <v>9</v>
      </c>
      <c r="E32" s="1">
        <f t="shared" si="1"/>
        <v>29.589041095890408</v>
      </c>
      <c r="F32" s="55">
        <f>Table1[[#This Row],[Degrees Into Sign]]/30</f>
        <v>0.98630136986301364</v>
      </c>
    </row>
    <row r="33" spans="1:6" x14ac:dyDescent="0.25">
      <c r="A33" s="54">
        <v>43576</v>
      </c>
      <c r="B33" s="1">
        <v>31</v>
      </c>
      <c r="C33" s="1">
        <f t="shared" si="0"/>
        <v>30.575342465753423</v>
      </c>
      <c r="D33" s="1" t="s">
        <v>120</v>
      </c>
      <c r="E33" s="1">
        <f>C33-30</f>
        <v>0.57534246575342252</v>
      </c>
      <c r="F33" s="55">
        <f>Table1[[#This Row],[Degrees Into Sign]]/30</f>
        <v>1.917808219178075E-2</v>
      </c>
    </row>
    <row r="34" spans="1:6" x14ac:dyDescent="0.25">
      <c r="A34" s="54">
        <v>43577</v>
      </c>
      <c r="B34" s="1">
        <v>32</v>
      </c>
      <c r="C34" s="1">
        <f t="shared" si="0"/>
        <v>31.56164383561644</v>
      </c>
      <c r="D34" s="1" t="s">
        <v>120</v>
      </c>
      <c r="E34" s="1">
        <f t="shared" ref="E34:E62" si="2">C34-30</f>
        <v>1.5616438356164402</v>
      </c>
      <c r="F34" s="55">
        <f>Table1[[#This Row],[Degrees Into Sign]]/30</f>
        <v>5.2054794520548002E-2</v>
      </c>
    </row>
    <row r="35" spans="1:6" x14ac:dyDescent="0.25">
      <c r="A35" s="54">
        <v>43578</v>
      </c>
      <c r="B35" s="1">
        <v>33</v>
      </c>
      <c r="C35" s="1">
        <f t="shared" si="0"/>
        <v>32.547945205479451</v>
      </c>
      <c r="D35" s="1" t="s">
        <v>120</v>
      </c>
      <c r="E35" s="1">
        <f t="shared" si="2"/>
        <v>2.5479452054794507</v>
      </c>
      <c r="F35" s="55">
        <f>Table1[[#This Row],[Degrees Into Sign]]/30</f>
        <v>8.4931506849315025E-2</v>
      </c>
    </row>
    <row r="36" spans="1:6" x14ac:dyDescent="0.25">
      <c r="A36" s="54">
        <v>43579</v>
      </c>
      <c r="B36" s="1">
        <v>34</v>
      </c>
      <c r="C36" s="1">
        <f t="shared" si="0"/>
        <v>33.534246575342465</v>
      </c>
      <c r="D36" s="1" t="s">
        <v>120</v>
      </c>
      <c r="E36" s="1">
        <f t="shared" si="2"/>
        <v>3.5342465753424648</v>
      </c>
      <c r="F36" s="55">
        <f>Table1[[#This Row],[Degrees Into Sign]]/30</f>
        <v>0.11780821917808217</v>
      </c>
    </row>
    <row r="37" spans="1:6" x14ac:dyDescent="0.25">
      <c r="A37" s="54">
        <v>43580</v>
      </c>
      <c r="B37" s="1">
        <v>35</v>
      </c>
      <c r="C37" s="1">
        <f t="shared" si="0"/>
        <v>34.520547945205479</v>
      </c>
      <c r="D37" s="1" t="s">
        <v>120</v>
      </c>
      <c r="E37" s="1">
        <f t="shared" si="2"/>
        <v>4.5205479452054789</v>
      </c>
      <c r="F37" s="55">
        <f>Table1[[#This Row],[Degrees Into Sign]]/30</f>
        <v>0.15068493150684931</v>
      </c>
    </row>
    <row r="38" spans="1:6" x14ac:dyDescent="0.25">
      <c r="A38" s="54">
        <v>43581</v>
      </c>
      <c r="B38" s="1">
        <v>36</v>
      </c>
      <c r="C38" s="1">
        <f t="shared" si="0"/>
        <v>35.506849315068493</v>
      </c>
      <c r="D38" s="1" t="s">
        <v>120</v>
      </c>
      <c r="E38" s="1">
        <f t="shared" si="2"/>
        <v>5.506849315068493</v>
      </c>
      <c r="F38" s="55">
        <f>Table1[[#This Row],[Degrees Into Sign]]/30</f>
        <v>0.18356164383561643</v>
      </c>
    </row>
    <row r="39" spans="1:6" x14ac:dyDescent="0.25">
      <c r="A39" s="54">
        <v>43582</v>
      </c>
      <c r="B39" s="1">
        <v>37</v>
      </c>
      <c r="C39" s="1">
        <f t="shared" si="0"/>
        <v>36.493150684931507</v>
      </c>
      <c r="D39" s="1" t="s">
        <v>120</v>
      </c>
      <c r="E39" s="1">
        <f t="shared" si="2"/>
        <v>6.493150684931507</v>
      </c>
      <c r="F39" s="55">
        <f>Table1[[#This Row],[Degrees Into Sign]]/30</f>
        <v>0.21643835616438356</v>
      </c>
    </row>
    <row r="40" spans="1:6" x14ac:dyDescent="0.25">
      <c r="A40" s="54">
        <v>43583</v>
      </c>
      <c r="B40" s="1">
        <v>38</v>
      </c>
      <c r="C40" s="1">
        <f t="shared" si="0"/>
        <v>37.479452054794521</v>
      </c>
      <c r="D40" s="1" t="s">
        <v>120</v>
      </c>
      <c r="E40" s="1">
        <f t="shared" si="2"/>
        <v>7.4794520547945211</v>
      </c>
      <c r="F40" s="55">
        <f>Table1[[#This Row],[Degrees Into Sign]]/30</f>
        <v>0.24931506849315072</v>
      </c>
    </row>
    <row r="41" spans="1:6" x14ac:dyDescent="0.25">
      <c r="A41" s="54">
        <v>43584</v>
      </c>
      <c r="B41" s="1">
        <v>39</v>
      </c>
      <c r="C41" s="1">
        <f t="shared" si="0"/>
        <v>38.465753424657535</v>
      </c>
      <c r="D41" s="1" t="s">
        <v>120</v>
      </c>
      <c r="E41" s="1">
        <f t="shared" si="2"/>
        <v>8.4657534246575352</v>
      </c>
      <c r="F41" s="55">
        <f>Table1[[#This Row],[Degrees Into Sign]]/30</f>
        <v>0.28219178082191781</v>
      </c>
    </row>
    <row r="42" spans="1:6" x14ac:dyDescent="0.25">
      <c r="A42" s="54">
        <v>43585</v>
      </c>
      <c r="B42" s="1">
        <v>40</v>
      </c>
      <c r="C42" s="1">
        <f t="shared" si="0"/>
        <v>39.452054794520549</v>
      </c>
      <c r="D42" s="1" t="s">
        <v>120</v>
      </c>
      <c r="E42" s="1">
        <f t="shared" si="2"/>
        <v>9.4520547945205493</v>
      </c>
      <c r="F42" s="55">
        <f>Table1[[#This Row],[Degrees Into Sign]]/30</f>
        <v>0.31506849315068497</v>
      </c>
    </row>
    <row r="43" spans="1:6" x14ac:dyDescent="0.25">
      <c r="A43" s="54">
        <v>43586</v>
      </c>
      <c r="B43" s="1">
        <v>41</v>
      </c>
      <c r="C43" s="1">
        <f t="shared" si="0"/>
        <v>40.438356164383563</v>
      </c>
      <c r="D43" s="1" t="s">
        <v>120</v>
      </c>
      <c r="E43" s="1">
        <f t="shared" si="2"/>
        <v>10.438356164383563</v>
      </c>
      <c r="F43" s="55">
        <f>Table1[[#This Row],[Degrees Into Sign]]/30</f>
        <v>0.34794520547945212</v>
      </c>
    </row>
    <row r="44" spans="1:6" x14ac:dyDescent="0.25">
      <c r="A44" s="54">
        <v>43587</v>
      </c>
      <c r="B44" s="1">
        <v>42</v>
      </c>
      <c r="C44" s="1">
        <f t="shared" si="0"/>
        <v>41.424657534246577</v>
      </c>
      <c r="D44" s="1" t="s">
        <v>120</v>
      </c>
      <c r="E44" s="1">
        <f t="shared" si="2"/>
        <v>11.424657534246577</v>
      </c>
      <c r="F44" s="55">
        <f>Table1[[#This Row],[Degrees Into Sign]]/30</f>
        <v>0.38082191780821922</v>
      </c>
    </row>
    <row r="45" spans="1:6" x14ac:dyDescent="0.25">
      <c r="A45" s="54">
        <v>43588</v>
      </c>
      <c r="B45" s="1">
        <v>43</v>
      </c>
      <c r="C45" s="1">
        <f t="shared" si="0"/>
        <v>42.410958904109592</v>
      </c>
      <c r="D45" s="1" t="s">
        <v>120</v>
      </c>
      <c r="E45" s="1">
        <f t="shared" si="2"/>
        <v>12.410958904109592</v>
      </c>
      <c r="F45" s="55">
        <f>Table1[[#This Row],[Degrees Into Sign]]/30</f>
        <v>0.41369863013698638</v>
      </c>
    </row>
    <row r="46" spans="1:6" x14ac:dyDescent="0.25">
      <c r="A46" s="54">
        <v>43589</v>
      </c>
      <c r="B46" s="1">
        <v>44</v>
      </c>
      <c r="C46" s="1">
        <f t="shared" si="0"/>
        <v>43.397260273972606</v>
      </c>
      <c r="D46" s="1" t="s">
        <v>120</v>
      </c>
      <c r="E46" s="1">
        <f t="shared" si="2"/>
        <v>13.397260273972606</v>
      </c>
      <c r="F46" s="55">
        <f>Table1[[#This Row],[Degrees Into Sign]]/30</f>
        <v>0.44657534246575353</v>
      </c>
    </row>
    <row r="47" spans="1:6" x14ac:dyDescent="0.25">
      <c r="A47" s="54">
        <v>43590</v>
      </c>
      <c r="B47" s="1">
        <v>45</v>
      </c>
      <c r="C47" s="1">
        <f t="shared" si="0"/>
        <v>44.383561643835613</v>
      </c>
      <c r="D47" s="1" t="s">
        <v>120</v>
      </c>
      <c r="E47" s="1">
        <f t="shared" si="2"/>
        <v>14.383561643835613</v>
      </c>
      <c r="F47" s="55">
        <f>Table1[[#This Row],[Degrees Into Sign]]/30</f>
        <v>0.47945205479452041</v>
      </c>
    </row>
    <row r="48" spans="1:6" x14ac:dyDescent="0.25">
      <c r="A48" s="54">
        <v>43591</v>
      </c>
      <c r="B48" s="1">
        <v>46</v>
      </c>
      <c r="C48" s="1">
        <f t="shared" si="0"/>
        <v>45.369863013698634</v>
      </c>
      <c r="D48" s="1" t="s">
        <v>120</v>
      </c>
      <c r="E48" s="1">
        <f t="shared" si="2"/>
        <v>15.369863013698634</v>
      </c>
      <c r="F48" s="55">
        <f>Table1[[#This Row],[Degrees Into Sign]]/30</f>
        <v>0.51232876712328779</v>
      </c>
    </row>
    <row r="49" spans="1:6" x14ac:dyDescent="0.25">
      <c r="A49" s="54">
        <v>43592</v>
      </c>
      <c r="B49" s="1">
        <v>47</v>
      </c>
      <c r="C49" s="1">
        <f t="shared" si="0"/>
        <v>46.356164383561641</v>
      </c>
      <c r="D49" s="1" t="s">
        <v>120</v>
      </c>
      <c r="E49" s="1">
        <f t="shared" si="2"/>
        <v>16.356164383561641</v>
      </c>
      <c r="F49" s="55">
        <f>Table1[[#This Row],[Degrees Into Sign]]/30</f>
        <v>0.54520547945205466</v>
      </c>
    </row>
    <row r="50" spans="1:6" x14ac:dyDescent="0.25">
      <c r="A50" s="54">
        <v>43593</v>
      </c>
      <c r="B50" s="1">
        <v>48</v>
      </c>
      <c r="C50" s="1">
        <f t="shared" si="0"/>
        <v>47.342465753424655</v>
      </c>
      <c r="D50" s="1" t="s">
        <v>120</v>
      </c>
      <c r="E50" s="1">
        <f t="shared" si="2"/>
        <v>17.342465753424655</v>
      </c>
      <c r="F50" s="55">
        <f>Table1[[#This Row],[Degrees Into Sign]]/30</f>
        <v>0.57808219178082187</v>
      </c>
    </row>
    <row r="51" spans="1:6" x14ac:dyDescent="0.25">
      <c r="A51" s="54">
        <v>43594</v>
      </c>
      <c r="B51" s="1">
        <v>49</v>
      </c>
      <c r="C51" s="1">
        <f t="shared" si="0"/>
        <v>48.328767123287676</v>
      </c>
      <c r="D51" s="1" t="s">
        <v>120</v>
      </c>
      <c r="E51" s="1">
        <f t="shared" si="2"/>
        <v>18.328767123287676</v>
      </c>
      <c r="F51" s="55">
        <f>Table1[[#This Row],[Degrees Into Sign]]/30</f>
        <v>0.6109589041095892</v>
      </c>
    </row>
    <row r="52" spans="1:6" x14ac:dyDescent="0.25">
      <c r="A52" s="54">
        <v>43595</v>
      </c>
      <c r="B52" s="1">
        <v>50</v>
      </c>
      <c r="C52" s="1">
        <f t="shared" si="0"/>
        <v>49.315068493150683</v>
      </c>
      <c r="D52" s="1" t="s">
        <v>120</v>
      </c>
      <c r="E52" s="1">
        <f t="shared" si="2"/>
        <v>19.315068493150683</v>
      </c>
      <c r="F52" s="55">
        <f>Table1[[#This Row],[Degrees Into Sign]]/30</f>
        <v>0.64383561643835607</v>
      </c>
    </row>
    <row r="53" spans="1:6" x14ac:dyDescent="0.25">
      <c r="A53" s="54">
        <v>43596</v>
      </c>
      <c r="B53" s="1">
        <v>51</v>
      </c>
      <c r="C53" s="1">
        <f t="shared" si="0"/>
        <v>50.301369863013704</v>
      </c>
      <c r="D53" s="1" t="s">
        <v>120</v>
      </c>
      <c r="E53" s="1">
        <f t="shared" si="2"/>
        <v>20.301369863013704</v>
      </c>
      <c r="F53" s="55">
        <f>Table1[[#This Row],[Degrees Into Sign]]/30</f>
        <v>0.67671232876712351</v>
      </c>
    </row>
    <row r="54" spans="1:6" x14ac:dyDescent="0.25">
      <c r="A54" s="54">
        <v>43597</v>
      </c>
      <c r="B54" s="1">
        <v>52</v>
      </c>
      <c r="C54" s="1">
        <f t="shared" si="0"/>
        <v>51.287671232876711</v>
      </c>
      <c r="D54" s="1" t="s">
        <v>120</v>
      </c>
      <c r="E54" s="1">
        <f t="shared" si="2"/>
        <v>21.287671232876711</v>
      </c>
      <c r="F54" s="55">
        <f>Table1[[#This Row],[Degrees Into Sign]]/30</f>
        <v>0.70958904109589038</v>
      </c>
    </row>
    <row r="55" spans="1:6" x14ac:dyDescent="0.25">
      <c r="A55" s="54">
        <v>43598</v>
      </c>
      <c r="B55" s="1">
        <v>53</v>
      </c>
      <c r="C55" s="1">
        <f t="shared" si="0"/>
        <v>52.273972602739718</v>
      </c>
      <c r="D55" s="1" t="s">
        <v>120</v>
      </c>
      <c r="E55" s="1">
        <f t="shared" si="2"/>
        <v>22.273972602739718</v>
      </c>
      <c r="F55" s="55">
        <f>Table1[[#This Row],[Degrees Into Sign]]/30</f>
        <v>0.74246575342465726</v>
      </c>
    </row>
    <row r="56" spans="1:6" x14ac:dyDescent="0.25">
      <c r="A56" s="54">
        <v>43599</v>
      </c>
      <c r="B56" s="1">
        <v>54</v>
      </c>
      <c r="C56" s="1">
        <f t="shared" si="0"/>
        <v>53.260273972602739</v>
      </c>
      <c r="D56" s="1" t="s">
        <v>120</v>
      </c>
      <c r="E56" s="1">
        <f t="shared" si="2"/>
        <v>23.260273972602739</v>
      </c>
      <c r="F56" s="55">
        <f>Table1[[#This Row],[Degrees Into Sign]]/30</f>
        <v>0.77534246575342469</v>
      </c>
    </row>
    <row r="57" spans="1:6" x14ac:dyDescent="0.25">
      <c r="A57" s="54">
        <v>43600</v>
      </c>
      <c r="B57" s="1">
        <v>55</v>
      </c>
      <c r="C57" s="1">
        <f t="shared" si="0"/>
        <v>54.246575342465754</v>
      </c>
      <c r="D57" s="1" t="s">
        <v>120</v>
      </c>
      <c r="E57" s="1">
        <f t="shared" si="2"/>
        <v>24.246575342465754</v>
      </c>
      <c r="F57" s="55">
        <f>Table1[[#This Row],[Degrees Into Sign]]/30</f>
        <v>0.80821917808219179</v>
      </c>
    </row>
    <row r="58" spans="1:6" x14ac:dyDescent="0.25">
      <c r="A58" s="54">
        <v>43601</v>
      </c>
      <c r="B58" s="1">
        <v>56</v>
      </c>
      <c r="C58" s="1">
        <f t="shared" si="0"/>
        <v>55.232876712328768</v>
      </c>
      <c r="D58" s="1" t="s">
        <v>120</v>
      </c>
      <c r="E58" s="1">
        <f t="shared" si="2"/>
        <v>25.232876712328768</v>
      </c>
      <c r="F58" s="55">
        <f>Table1[[#This Row],[Degrees Into Sign]]/30</f>
        <v>0.84109589041095889</v>
      </c>
    </row>
    <row r="59" spans="1:6" x14ac:dyDescent="0.25">
      <c r="A59" s="54">
        <v>43602</v>
      </c>
      <c r="B59" s="1">
        <v>57</v>
      </c>
      <c r="C59" s="1">
        <f t="shared" si="0"/>
        <v>56.219178082191782</v>
      </c>
      <c r="D59" s="1" t="s">
        <v>120</v>
      </c>
      <c r="E59" s="1">
        <f t="shared" si="2"/>
        <v>26.219178082191782</v>
      </c>
      <c r="F59" s="55">
        <f>Table1[[#This Row],[Degrees Into Sign]]/30</f>
        <v>0.8739726027397261</v>
      </c>
    </row>
    <row r="60" spans="1:6" x14ac:dyDescent="0.25">
      <c r="A60" s="54">
        <v>43603</v>
      </c>
      <c r="B60" s="1">
        <v>58</v>
      </c>
      <c r="C60" s="1">
        <f t="shared" si="0"/>
        <v>57.205479452054803</v>
      </c>
      <c r="D60" s="1" t="s">
        <v>120</v>
      </c>
      <c r="E60" s="1">
        <f t="shared" si="2"/>
        <v>27.205479452054803</v>
      </c>
      <c r="F60" s="55">
        <f>Table1[[#This Row],[Degrees Into Sign]]/30</f>
        <v>0.90684931506849342</v>
      </c>
    </row>
    <row r="61" spans="1:6" x14ac:dyDescent="0.25">
      <c r="A61" s="54">
        <v>43604</v>
      </c>
      <c r="B61" s="1">
        <v>59</v>
      </c>
      <c r="C61" s="1">
        <f t="shared" si="0"/>
        <v>58.19178082191781</v>
      </c>
      <c r="D61" s="1" t="s">
        <v>120</v>
      </c>
      <c r="E61" s="1">
        <f t="shared" si="2"/>
        <v>28.19178082191781</v>
      </c>
      <c r="F61" s="55">
        <f>Table1[[#This Row],[Degrees Into Sign]]/30</f>
        <v>0.9397260273972603</v>
      </c>
    </row>
    <row r="62" spans="1:6" x14ac:dyDescent="0.25">
      <c r="A62" s="54">
        <v>43605</v>
      </c>
      <c r="B62" s="1">
        <v>60</v>
      </c>
      <c r="C62" s="1">
        <f t="shared" si="0"/>
        <v>59.178082191780817</v>
      </c>
      <c r="D62" s="1" t="s">
        <v>120</v>
      </c>
      <c r="E62" s="1">
        <f t="shared" si="2"/>
        <v>29.178082191780817</v>
      </c>
      <c r="F62" s="55">
        <f>Table1[[#This Row],[Degrees Into Sign]]/30</f>
        <v>0.97260273972602718</v>
      </c>
    </row>
    <row r="63" spans="1:6" x14ac:dyDescent="0.25">
      <c r="A63" s="54">
        <v>43606</v>
      </c>
      <c r="B63" s="1">
        <v>61</v>
      </c>
      <c r="C63" s="1">
        <f t="shared" si="0"/>
        <v>60.164383561643838</v>
      </c>
      <c r="D63" s="1" t="s">
        <v>121</v>
      </c>
      <c r="E63" s="1">
        <f>C63-60</f>
        <v>0.16438356164383805</v>
      </c>
      <c r="F63" s="55">
        <f>Table1[[#This Row],[Degrees Into Sign]]/30</f>
        <v>5.4794520547946013E-3</v>
      </c>
    </row>
    <row r="64" spans="1:6" x14ac:dyDescent="0.25">
      <c r="A64" s="54">
        <v>43607</v>
      </c>
      <c r="B64" s="1">
        <v>62</v>
      </c>
      <c r="C64" s="1">
        <f t="shared" si="0"/>
        <v>61.150684931506845</v>
      </c>
      <c r="D64" s="1" t="s">
        <v>121</v>
      </c>
      <c r="E64" s="1">
        <f t="shared" ref="E64:E93" si="3">C64-60</f>
        <v>1.150684931506845</v>
      </c>
      <c r="F64" s="55">
        <f>Table1[[#This Row],[Degrees Into Sign]]/30</f>
        <v>3.83561643835615E-2</v>
      </c>
    </row>
    <row r="65" spans="1:6" x14ac:dyDescent="0.25">
      <c r="A65" s="54">
        <v>43608</v>
      </c>
      <c r="B65" s="1">
        <v>63</v>
      </c>
      <c r="C65" s="1">
        <f t="shared" si="0"/>
        <v>62.136986301369866</v>
      </c>
      <c r="D65" s="1" t="s">
        <v>121</v>
      </c>
      <c r="E65" s="1">
        <f t="shared" si="3"/>
        <v>2.1369863013698662</v>
      </c>
      <c r="F65" s="55">
        <f>Table1[[#This Row],[Degrees Into Sign]]/30</f>
        <v>7.1232876712328877E-2</v>
      </c>
    </row>
    <row r="66" spans="1:6" x14ac:dyDescent="0.25">
      <c r="A66" s="54">
        <v>43609</v>
      </c>
      <c r="B66" s="1">
        <v>64</v>
      </c>
      <c r="C66" s="1">
        <f t="shared" si="0"/>
        <v>63.12328767123288</v>
      </c>
      <c r="D66" s="1" t="s">
        <v>121</v>
      </c>
      <c r="E66" s="1">
        <f t="shared" si="3"/>
        <v>3.1232876712328803</v>
      </c>
      <c r="F66" s="55">
        <f>Table1[[#This Row],[Degrees Into Sign]]/30</f>
        <v>0.104109589041096</v>
      </c>
    </row>
    <row r="67" spans="1:6" x14ac:dyDescent="0.25">
      <c r="A67" s="54">
        <v>43610</v>
      </c>
      <c r="B67" s="1">
        <v>65</v>
      </c>
      <c r="C67" s="1">
        <f t="shared" ref="C67:C130" si="4">B67/365*360</f>
        <v>64.109589041095887</v>
      </c>
      <c r="D67" s="1" t="s">
        <v>121</v>
      </c>
      <c r="E67" s="1">
        <f t="shared" si="3"/>
        <v>4.1095890410958873</v>
      </c>
      <c r="F67" s="55">
        <f>Table1[[#This Row],[Degrees Into Sign]]/30</f>
        <v>0.13698630136986292</v>
      </c>
    </row>
    <row r="68" spans="1:6" x14ac:dyDescent="0.25">
      <c r="A68" s="54">
        <v>43611</v>
      </c>
      <c r="B68" s="1">
        <v>66</v>
      </c>
      <c r="C68" s="1">
        <f t="shared" si="4"/>
        <v>65.095890410958901</v>
      </c>
      <c r="D68" s="1" t="s">
        <v>121</v>
      </c>
      <c r="E68" s="1">
        <f t="shared" si="3"/>
        <v>5.0958904109589014</v>
      </c>
      <c r="F68" s="55">
        <f>Table1[[#This Row],[Degrees Into Sign]]/30</f>
        <v>0.16986301369863005</v>
      </c>
    </row>
    <row r="69" spans="1:6" x14ac:dyDescent="0.25">
      <c r="A69" s="54">
        <v>43612</v>
      </c>
      <c r="B69" s="1">
        <v>67</v>
      </c>
      <c r="C69" s="1">
        <f t="shared" si="4"/>
        <v>66.082191780821915</v>
      </c>
      <c r="D69" s="1" t="s">
        <v>121</v>
      </c>
      <c r="E69" s="1">
        <f t="shared" si="3"/>
        <v>6.0821917808219155</v>
      </c>
      <c r="F69" s="55">
        <f>Table1[[#This Row],[Degrees Into Sign]]/30</f>
        <v>0.20273972602739718</v>
      </c>
    </row>
    <row r="70" spans="1:6" x14ac:dyDescent="0.25">
      <c r="A70" s="54">
        <v>43613</v>
      </c>
      <c r="B70" s="1">
        <v>68</v>
      </c>
      <c r="C70" s="1">
        <f t="shared" si="4"/>
        <v>67.06849315068493</v>
      </c>
      <c r="D70" s="1" t="s">
        <v>121</v>
      </c>
      <c r="E70" s="1">
        <f t="shared" si="3"/>
        <v>7.0684931506849296</v>
      </c>
      <c r="F70" s="55">
        <f>Table1[[#This Row],[Degrees Into Sign]]/30</f>
        <v>0.23561643835616433</v>
      </c>
    </row>
    <row r="71" spans="1:6" x14ac:dyDescent="0.25">
      <c r="A71" s="54">
        <v>43614</v>
      </c>
      <c r="B71" s="1">
        <v>69</v>
      </c>
      <c r="C71" s="1">
        <f t="shared" si="4"/>
        <v>68.054794520547944</v>
      </c>
      <c r="D71" s="1" t="s">
        <v>121</v>
      </c>
      <c r="E71" s="1">
        <f t="shared" si="3"/>
        <v>8.0547945205479436</v>
      </c>
      <c r="F71" s="55">
        <f>Table1[[#This Row],[Degrees Into Sign]]/30</f>
        <v>0.26849315068493146</v>
      </c>
    </row>
    <row r="72" spans="1:6" x14ac:dyDescent="0.25">
      <c r="A72" s="54">
        <v>43615</v>
      </c>
      <c r="B72" s="1">
        <v>70</v>
      </c>
      <c r="C72" s="1">
        <f t="shared" si="4"/>
        <v>69.041095890410958</v>
      </c>
      <c r="D72" s="1" t="s">
        <v>121</v>
      </c>
      <c r="E72" s="1">
        <f t="shared" si="3"/>
        <v>9.0410958904109577</v>
      </c>
      <c r="F72" s="55">
        <f>Table1[[#This Row],[Degrees Into Sign]]/30</f>
        <v>0.30136986301369861</v>
      </c>
    </row>
    <row r="73" spans="1:6" x14ac:dyDescent="0.25">
      <c r="A73" s="54">
        <v>43616</v>
      </c>
      <c r="B73" s="1">
        <v>71</v>
      </c>
      <c r="C73" s="1">
        <f t="shared" si="4"/>
        <v>70.027397260273972</v>
      </c>
      <c r="D73" s="1" t="s">
        <v>121</v>
      </c>
      <c r="E73" s="1">
        <f t="shared" si="3"/>
        <v>10.027397260273972</v>
      </c>
      <c r="F73" s="55">
        <f>Table1[[#This Row],[Degrees Into Sign]]/30</f>
        <v>0.33424657534246571</v>
      </c>
    </row>
    <row r="74" spans="1:6" x14ac:dyDescent="0.25">
      <c r="A74" s="54">
        <v>43617</v>
      </c>
      <c r="B74" s="1">
        <v>72</v>
      </c>
      <c r="C74" s="1">
        <f t="shared" si="4"/>
        <v>71.013698630136986</v>
      </c>
      <c r="D74" s="1" t="s">
        <v>121</v>
      </c>
      <c r="E74" s="1">
        <f t="shared" si="3"/>
        <v>11.013698630136986</v>
      </c>
      <c r="F74" s="55">
        <f>Table1[[#This Row],[Degrees Into Sign]]/30</f>
        <v>0.36712328767123287</v>
      </c>
    </row>
    <row r="75" spans="1:6" x14ac:dyDescent="0.25">
      <c r="A75" s="54">
        <v>43618</v>
      </c>
      <c r="B75" s="1">
        <v>73</v>
      </c>
      <c r="C75" s="1">
        <f t="shared" si="4"/>
        <v>72</v>
      </c>
      <c r="D75" s="1" t="s">
        <v>121</v>
      </c>
      <c r="E75" s="1">
        <f t="shared" si="3"/>
        <v>12</v>
      </c>
      <c r="F75" s="55">
        <f>Table1[[#This Row],[Degrees Into Sign]]/30</f>
        <v>0.4</v>
      </c>
    </row>
    <row r="76" spans="1:6" x14ac:dyDescent="0.25">
      <c r="A76" s="54">
        <v>43619</v>
      </c>
      <c r="B76" s="1">
        <v>74</v>
      </c>
      <c r="C76" s="1">
        <f t="shared" si="4"/>
        <v>72.986301369863014</v>
      </c>
      <c r="D76" s="1" t="s">
        <v>121</v>
      </c>
      <c r="E76" s="1">
        <f t="shared" si="3"/>
        <v>12.986301369863014</v>
      </c>
      <c r="F76" s="55">
        <f>Table1[[#This Row],[Degrees Into Sign]]/30</f>
        <v>0.43287671232876712</v>
      </c>
    </row>
    <row r="77" spans="1:6" x14ac:dyDescent="0.25">
      <c r="A77" s="54">
        <v>43620</v>
      </c>
      <c r="B77" s="1">
        <v>75</v>
      </c>
      <c r="C77" s="1">
        <f t="shared" si="4"/>
        <v>73.972602739726028</v>
      </c>
      <c r="D77" s="1" t="s">
        <v>121</v>
      </c>
      <c r="E77" s="1">
        <f t="shared" si="3"/>
        <v>13.972602739726028</v>
      </c>
      <c r="F77" s="55">
        <f>Table1[[#This Row],[Degrees Into Sign]]/30</f>
        <v>0.46575342465753428</v>
      </c>
    </row>
    <row r="78" spans="1:6" x14ac:dyDescent="0.25">
      <c r="A78" s="54">
        <v>43621</v>
      </c>
      <c r="B78" s="1">
        <v>76</v>
      </c>
      <c r="C78" s="1">
        <f t="shared" si="4"/>
        <v>74.958904109589042</v>
      </c>
      <c r="D78" s="1" t="s">
        <v>121</v>
      </c>
      <c r="E78" s="1">
        <f t="shared" si="3"/>
        <v>14.958904109589042</v>
      </c>
      <c r="F78" s="55">
        <f>Table1[[#This Row],[Degrees Into Sign]]/30</f>
        <v>0.49863013698630143</v>
      </c>
    </row>
    <row r="79" spans="1:6" x14ac:dyDescent="0.25">
      <c r="A79" s="54">
        <v>43622</v>
      </c>
      <c r="B79" s="1">
        <v>77</v>
      </c>
      <c r="C79" s="1">
        <f t="shared" si="4"/>
        <v>75.945205479452056</v>
      </c>
      <c r="D79" s="1" t="s">
        <v>121</v>
      </c>
      <c r="E79" s="1">
        <f t="shared" si="3"/>
        <v>15.945205479452056</v>
      </c>
      <c r="F79" s="55">
        <f>Table1[[#This Row],[Degrees Into Sign]]/30</f>
        <v>0.53150684931506853</v>
      </c>
    </row>
    <row r="80" spans="1:6" x14ac:dyDescent="0.25">
      <c r="A80" s="54">
        <v>43623</v>
      </c>
      <c r="B80" s="1">
        <v>78</v>
      </c>
      <c r="C80" s="1">
        <f t="shared" si="4"/>
        <v>76.93150684931507</v>
      </c>
      <c r="D80" s="1" t="s">
        <v>121</v>
      </c>
      <c r="E80" s="1">
        <f t="shared" si="3"/>
        <v>16.93150684931507</v>
      </c>
      <c r="F80" s="55">
        <f>Table1[[#This Row],[Degrees Into Sign]]/30</f>
        <v>0.56438356164383563</v>
      </c>
    </row>
    <row r="81" spans="1:6" x14ac:dyDescent="0.25">
      <c r="A81" s="54">
        <v>43624</v>
      </c>
      <c r="B81" s="1">
        <v>79</v>
      </c>
      <c r="C81" s="1">
        <f t="shared" si="4"/>
        <v>77.917808219178085</v>
      </c>
      <c r="D81" s="1" t="s">
        <v>121</v>
      </c>
      <c r="E81" s="1">
        <f t="shared" si="3"/>
        <v>17.917808219178085</v>
      </c>
      <c r="F81" s="55">
        <f>Table1[[#This Row],[Degrees Into Sign]]/30</f>
        <v>0.59726027397260284</v>
      </c>
    </row>
    <row r="82" spans="1:6" x14ac:dyDescent="0.25">
      <c r="A82" s="54">
        <v>43625</v>
      </c>
      <c r="B82" s="1">
        <v>80</v>
      </c>
      <c r="C82" s="1">
        <f t="shared" si="4"/>
        <v>78.904109589041099</v>
      </c>
      <c r="D82" s="1" t="s">
        <v>121</v>
      </c>
      <c r="E82" s="1">
        <f t="shared" si="3"/>
        <v>18.904109589041099</v>
      </c>
      <c r="F82" s="55">
        <f>Table1[[#This Row],[Degrees Into Sign]]/30</f>
        <v>0.63013698630136994</v>
      </c>
    </row>
    <row r="83" spans="1:6" x14ac:dyDescent="0.25">
      <c r="A83" s="54">
        <v>43626</v>
      </c>
      <c r="B83" s="1">
        <v>81</v>
      </c>
      <c r="C83" s="1">
        <f t="shared" si="4"/>
        <v>79.890410958904113</v>
      </c>
      <c r="D83" s="1" t="s">
        <v>121</v>
      </c>
      <c r="E83" s="1">
        <f t="shared" si="3"/>
        <v>19.890410958904113</v>
      </c>
      <c r="F83" s="55">
        <f>Table1[[#This Row],[Degrees Into Sign]]/30</f>
        <v>0.66301369863013704</v>
      </c>
    </row>
    <row r="84" spans="1:6" x14ac:dyDescent="0.25">
      <c r="A84" s="54">
        <v>43627</v>
      </c>
      <c r="B84" s="1">
        <v>82</v>
      </c>
      <c r="C84" s="1">
        <f t="shared" si="4"/>
        <v>80.876712328767127</v>
      </c>
      <c r="D84" s="1" t="s">
        <v>121</v>
      </c>
      <c r="E84" s="1">
        <f t="shared" si="3"/>
        <v>20.876712328767127</v>
      </c>
      <c r="F84" s="55">
        <f>Table1[[#This Row],[Degrees Into Sign]]/30</f>
        <v>0.69589041095890425</v>
      </c>
    </row>
    <row r="85" spans="1:6" x14ac:dyDescent="0.25">
      <c r="A85" s="54">
        <v>43628</v>
      </c>
      <c r="B85" s="1">
        <v>83</v>
      </c>
      <c r="C85" s="1">
        <f t="shared" si="4"/>
        <v>81.863013698630141</v>
      </c>
      <c r="D85" s="1" t="s">
        <v>121</v>
      </c>
      <c r="E85" s="1">
        <f t="shared" si="3"/>
        <v>21.863013698630141</v>
      </c>
      <c r="F85" s="55">
        <f>Table1[[#This Row],[Degrees Into Sign]]/30</f>
        <v>0.72876712328767135</v>
      </c>
    </row>
    <row r="86" spans="1:6" x14ac:dyDescent="0.25">
      <c r="A86" s="54">
        <v>43629</v>
      </c>
      <c r="B86" s="1">
        <v>84</v>
      </c>
      <c r="C86" s="1">
        <f t="shared" si="4"/>
        <v>82.849315068493155</v>
      </c>
      <c r="D86" s="1" t="s">
        <v>121</v>
      </c>
      <c r="E86" s="1">
        <f t="shared" si="3"/>
        <v>22.849315068493155</v>
      </c>
      <c r="F86" s="55">
        <f>Table1[[#This Row],[Degrees Into Sign]]/30</f>
        <v>0.76164383561643845</v>
      </c>
    </row>
    <row r="87" spans="1:6" x14ac:dyDescent="0.25">
      <c r="A87" s="54">
        <v>43630</v>
      </c>
      <c r="B87" s="1">
        <v>85</v>
      </c>
      <c r="C87" s="1">
        <f t="shared" si="4"/>
        <v>83.835616438356155</v>
      </c>
      <c r="D87" s="1" t="s">
        <v>121</v>
      </c>
      <c r="E87" s="1">
        <f t="shared" si="3"/>
        <v>23.835616438356155</v>
      </c>
      <c r="F87" s="55">
        <f>Table1[[#This Row],[Degrees Into Sign]]/30</f>
        <v>0.79452054794520521</v>
      </c>
    </row>
    <row r="88" spans="1:6" x14ac:dyDescent="0.25">
      <c r="A88" s="54">
        <v>43631</v>
      </c>
      <c r="B88" s="1">
        <v>86</v>
      </c>
      <c r="C88" s="1">
        <f t="shared" si="4"/>
        <v>84.821917808219183</v>
      </c>
      <c r="D88" s="1" t="s">
        <v>121</v>
      </c>
      <c r="E88" s="1">
        <f t="shared" si="3"/>
        <v>24.821917808219183</v>
      </c>
      <c r="F88" s="55">
        <f>Table1[[#This Row],[Degrees Into Sign]]/30</f>
        <v>0.82739726027397276</v>
      </c>
    </row>
    <row r="89" spans="1:6" x14ac:dyDescent="0.25">
      <c r="A89" s="54">
        <v>43632</v>
      </c>
      <c r="B89" s="1">
        <v>87</v>
      </c>
      <c r="C89" s="1">
        <f t="shared" si="4"/>
        <v>85.808219178082183</v>
      </c>
      <c r="D89" s="1" t="s">
        <v>121</v>
      </c>
      <c r="E89" s="1">
        <f t="shared" si="3"/>
        <v>25.808219178082183</v>
      </c>
      <c r="F89" s="55">
        <f>Table1[[#This Row],[Degrees Into Sign]]/30</f>
        <v>0.86027397260273941</v>
      </c>
    </row>
    <row r="90" spans="1:6" x14ac:dyDescent="0.25">
      <c r="A90" s="54">
        <v>43633</v>
      </c>
      <c r="B90" s="1">
        <v>88</v>
      </c>
      <c r="C90" s="1">
        <f t="shared" si="4"/>
        <v>86.794520547945211</v>
      </c>
      <c r="D90" s="1" t="s">
        <v>121</v>
      </c>
      <c r="E90" s="1">
        <f t="shared" si="3"/>
        <v>26.794520547945211</v>
      </c>
      <c r="F90" s="55">
        <f>Table1[[#This Row],[Degrees Into Sign]]/30</f>
        <v>0.89315068493150707</v>
      </c>
    </row>
    <row r="91" spans="1:6" x14ac:dyDescent="0.25">
      <c r="A91" s="54">
        <v>43634</v>
      </c>
      <c r="B91" s="1">
        <v>89</v>
      </c>
      <c r="C91" s="1">
        <f t="shared" si="4"/>
        <v>87.780821917808225</v>
      </c>
      <c r="D91" s="1" t="s">
        <v>121</v>
      </c>
      <c r="E91" s="1">
        <f t="shared" si="3"/>
        <v>27.780821917808225</v>
      </c>
      <c r="F91" s="55">
        <f>Table1[[#This Row],[Degrees Into Sign]]/30</f>
        <v>0.92602739726027417</v>
      </c>
    </row>
    <row r="92" spans="1:6" x14ac:dyDescent="0.25">
      <c r="A92" s="54">
        <v>43635</v>
      </c>
      <c r="B92" s="1">
        <v>90</v>
      </c>
      <c r="C92" s="1">
        <f t="shared" si="4"/>
        <v>88.767123287671225</v>
      </c>
      <c r="D92" s="1" t="s">
        <v>121</v>
      </c>
      <c r="E92" s="1">
        <f t="shared" si="3"/>
        <v>28.767123287671225</v>
      </c>
      <c r="F92" s="55">
        <f>Table1[[#This Row],[Degrees Into Sign]]/30</f>
        <v>0.95890410958904082</v>
      </c>
    </row>
    <row r="93" spans="1:6" x14ac:dyDescent="0.25">
      <c r="A93" s="54">
        <v>43636</v>
      </c>
      <c r="B93" s="1">
        <v>91</v>
      </c>
      <c r="C93" s="1">
        <f t="shared" si="4"/>
        <v>89.753424657534254</v>
      </c>
      <c r="D93" s="1" t="s">
        <v>121</v>
      </c>
      <c r="E93" s="1">
        <f t="shared" si="3"/>
        <v>29.753424657534254</v>
      </c>
      <c r="F93" s="55">
        <f>Table1[[#This Row],[Degrees Into Sign]]/30</f>
        <v>0.99178082191780847</v>
      </c>
    </row>
    <row r="94" spans="1:6" x14ac:dyDescent="0.25">
      <c r="A94" s="54">
        <v>43637</v>
      </c>
      <c r="B94" s="1">
        <v>92</v>
      </c>
      <c r="C94" s="1">
        <f t="shared" si="4"/>
        <v>90.739726027397268</v>
      </c>
      <c r="D94" s="1" t="s">
        <v>122</v>
      </c>
      <c r="E94" s="1">
        <f>C94-90</f>
        <v>0.73972602739726767</v>
      </c>
      <c r="F94" s="55">
        <f>Table1[[#This Row],[Degrees Into Sign]]/30</f>
        <v>2.4657534246575588E-2</v>
      </c>
    </row>
    <row r="95" spans="1:6" x14ac:dyDescent="0.25">
      <c r="A95" s="54">
        <v>43638</v>
      </c>
      <c r="B95" s="1">
        <v>93</v>
      </c>
      <c r="C95" s="1">
        <f t="shared" si="4"/>
        <v>91.726027397260282</v>
      </c>
      <c r="D95" s="1" t="s">
        <v>122</v>
      </c>
      <c r="E95" s="1">
        <f t="shared" ref="E95:E123" si="5">C95-90</f>
        <v>1.7260273972602818</v>
      </c>
      <c r="F95" s="55">
        <f>Table1[[#This Row],[Degrees Into Sign]]/30</f>
        <v>5.7534246575342722E-2</v>
      </c>
    </row>
    <row r="96" spans="1:6" x14ac:dyDescent="0.25">
      <c r="A96" s="54">
        <v>43639</v>
      </c>
      <c r="B96" s="1">
        <v>94</v>
      </c>
      <c r="C96" s="1">
        <f t="shared" si="4"/>
        <v>92.712328767123282</v>
      </c>
      <c r="D96" s="1" t="s">
        <v>122</v>
      </c>
      <c r="E96" s="1">
        <f t="shared" si="5"/>
        <v>2.7123287671232816</v>
      </c>
      <c r="F96" s="55">
        <f>Table1[[#This Row],[Degrees Into Sign]]/30</f>
        <v>9.0410958904109384E-2</v>
      </c>
    </row>
    <row r="97" spans="1:6" x14ac:dyDescent="0.25">
      <c r="A97" s="54">
        <v>43640</v>
      </c>
      <c r="B97" s="1">
        <v>95</v>
      </c>
      <c r="C97" s="1">
        <f t="shared" si="4"/>
        <v>93.698630136986296</v>
      </c>
      <c r="D97" s="1" t="s">
        <v>122</v>
      </c>
      <c r="E97" s="1">
        <f t="shared" si="5"/>
        <v>3.6986301369862957</v>
      </c>
      <c r="F97" s="55">
        <f>Table1[[#This Row],[Degrees Into Sign]]/30</f>
        <v>0.12328767123287653</v>
      </c>
    </row>
    <row r="98" spans="1:6" x14ac:dyDescent="0.25">
      <c r="A98" s="54">
        <v>43641</v>
      </c>
      <c r="B98" s="1">
        <v>96</v>
      </c>
      <c r="C98" s="1">
        <f t="shared" si="4"/>
        <v>94.68493150684931</v>
      </c>
      <c r="D98" s="1" t="s">
        <v>122</v>
      </c>
      <c r="E98" s="1">
        <f t="shared" si="5"/>
        <v>4.6849315068493098</v>
      </c>
      <c r="F98" s="55">
        <f>Table1[[#This Row],[Degrees Into Sign]]/30</f>
        <v>0.15616438356164367</v>
      </c>
    </row>
    <row r="99" spans="1:6" x14ac:dyDescent="0.25">
      <c r="A99" s="54">
        <v>43642</v>
      </c>
      <c r="B99" s="1">
        <v>97</v>
      </c>
      <c r="C99" s="1">
        <f t="shared" si="4"/>
        <v>95.671232876712338</v>
      </c>
      <c r="D99" s="1" t="s">
        <v>122</v>
      </c>
      <c r="E99" s="1">
        <f t="shared" si="5"/>
        <v>5.6712328767123381</v>
      </c>
      <c r="F99" s="55">
        <f>Table1[[#This Row],[Degrees Into Sign]]/30</f>
        <v>0.18904109589041126</v>
      </c>
    </row>
    <row r="100" spans="1:6" x14ac:dyDescent="0.25">
      <c r="A100" s="54">
        <v>43643</v>
      </c>
      <c r="B100" s="1">
        <v>98</v>
      </c>
      <c r="C100" s="1">
        <f t="shared" si="4"/>
        <v>96.657534246575352</v>
      </c>
      <c r="D100" s="1" t="s">
        <v>122</v>
      </c>
      <c r="E100" s="1">
        <f t="shared" si="5"/>
        <v>6.6575342465753522</v>
      </c>
      <c r="F100" s="55">
        <f>Table1[[#This Row],[Degrees Into Sign]]/30</f>
        <v>0.22191780821917842</v>
      </c>
    </row>
    <row r="101" spans="1:6" x14ac:dyDescent="0.25">
      <c r="A101" s="54">
        <v>43644</v>
      </c>
      <c r="B101" s="1">
        <v>99</v>
      </c>
      <c r="C101" s="1">
        <f t="shared" si="4"/>
        <v>97.643835616438352</v>
      </c>
      <c r="D101" s="1" t="s">
        <v>122</v>
      </c>
      <c r="E101" s="1">
        <f t="shared" si="5"/>
        <v>7.6438356164383521</v>
      </c>
      <c r="F101" s="55">
        <f>Table1[[#This Row],[Degrees Into Sign]]/30</f>
        <v>0.25479452054794505</v>
      </c>
    </row>
    <row r="102" spans="1:6" x14ac:dyDescent="0.25">
      <c r="A102" s="54">
        <v>43645</v>
      </c>
      <c r="B102" s="1">
        <v>100</v>
      </c>
      <c r="C102" s="1">
        <f t="shared" si="4"/>
        <v>98.630136986301366</v>
      </c>
      <c r="D102" s="1" t="s">
        <v>122</v>
      </c>
      <c r="E102" s="1">
        <f t="shared" si="5"/>
        <v>8.6301369863013662</v>
      </c>
      <c r="F102" s="55">
        <f>Table1[[#This Row],[Degrees Into Sign]]/30</f>
        <v>0.2876712328767122</v>
      </c>
    </row>
    <row r="103" spans="1:6" x14ac:dyDescent="0.25">
      <c r="A103" s="54">
        <v>43646</v>
      </c>
      <c r="B103" s="1">
        <v>101</v>
      </c>
      <c r="C103" s="1">
        <f t="shared" si="4"/>
        <v>99.61643835616438</v>
      </c>
      <c r="D103" s="1" t="s">
        <v>122</v>
      </c>
      <c r="E103" s="1">
        <f t="shared" si="5"/>
        <v>9.6164383561643803</v>
      </c>
      <c r="F103" s="55">
        <f>Table1[[#This Row],[Degrees Into Sign]]/30</f>
        <v>0.32054794520547936</v>
      </c>
    </row>
    <row r="104" spans="1:6" x14ac:dyDescent="0.25">
      <c r="A104" s="54">
        <v>43647</v>
      </c>
      <c r="B104" s="1">
        <v>102</v>
      </c>
      <c r="C104" s="1">
        <f t="shared" si="4"/>
        <v>100.60273972602741</v>
      </c>
      <c r="D104" s="1" t="s">
        <v>122</v>
      </c>
      <c r="E104" s="1">
        <f t="shared" si="5"/>
        <v>10.602739726027409</v>
      </c>
      <c r="F104" s="55">
        <f>Table1[[#This Row],[Degrees Into Sign]]/30</f>
        <v>0.35342465753424696</v>
      </c>
    </row>
    <row r="105" spans="1:6" x14ac:dyDescent="0.25">
      <c r="A105" s="54">
        <v>43648</v>
      </c>
      <c r="B105" s="1">
        <v>103</v>
      </c>
      <c r="C105" s="1">
        <f t="shared" si="4"/>
        <v>101.58904109589041</v>
      </c>
      <c r="D105" s="1" t="s">
        <v>122</v>
      </c>
      <c r="E105" s="1">
        <f t="shared" si="5"/>
        <v>11.589041095890408</v>
      </c>
      <c r="F105" s="55">
        <f>Table1[[#This Row],[Degrees Into Sign]]/30</f>
        <v>0.38630136986301361</v>
      </c>
    </row>
    <row r="106" spans="1:6" x14ac:dyDescent="0.25">
      <c r="A106" s="54">
        <v>43649</v>
      </c>
      <c r="B106" s="1">
        <v>104</v>
      </c>
      <c r="C106" s="1">
        <f t="shared" si="4"/>
        <v>102.57534246575342</v>
      </c>
      <c r="D106" s="1" t="s">
        <v>122</v>
      </c>
      <c r="E106" s="1">
        <f t="shared" si="5"/>
        <v>12.575342465753423</v>
      </c>
      <c r="F106" s="55">
        <f>Table1[[#This Row],[Degrees Into Sign]]/30</f>
        <v>0.41917808219178077</v>
      </c>
    </row>
    <row r="107" spans="1:6" x14ac:dyDescent="0.25">
      <c r="A107" s="54">
        <v>43650</v>
      </c>
      <c r="B107" s="1">
        <v>105</v>
      </c>
      <c r="C107" s="1">
        <f t="shared" si="4"/>
        <v>103.56164383561644</v>
      </c>
      <c r="D107" s="1" t="s">
        <v>122</v>
      </c>
      <c r="E107" s="1">
        <f t="shared" si="5"/>
        <v>13.561643835616437</v>
      </c>
      <c r="F107" s="55">
        <f>Table1[[#This Row],[Degrees Into Sign]]/30</f>
        <v>0.45205479452054786</v>
      </c>
    </row>
    <row r="108" spans="1:6" x14ac:dyDescent="0.25">
      <c r="A108" s="54">
        <v>43651</v>
      </c>
      <c r="B108" s="1">
        <v>106</v>
      </c>
      <c r="C108" s="1">
        <f t="shared" si="4"/>
        <v>104.54794520547944</v>
      </c>
      <c r="D108" s="1" t="s">
        <v>122</v>
      </c>
      <c r="E108" s="1">
        <f t="shared" si="5"/>
        <v>14.547945205479436</v>
      </c>
      <c r="F108" s="55">
        <f>Table1[[#This Row],[Degrees Into Sign]]/30</f>
        <v>0.48493150684931458</v>
      </c>
    </row>
    <row r="109" spans="1:6" x14ac:dyDescent="0.25">
      <c r="A109" s="54">
        <v>43652</v>
      </c>
      <c r="B109" s="1">
        <v>107</v>
      </c>
      <c r="C109" s="1">
        <f t="shared" si="4"/>
        <v>105.53424657534248</v>
      </c>
      <c r="D109" s="1" t="s">
        <v>122</v>
      </c>
      <c r="E109" s="1">
        <f t="shared" si="5"/>
        <v>15.534246575342479</v>
      </c>
      <c r="F109" s="55">
        <f>Table1[[#This Row],[Degrees Into Sign]]/30</f>
        <v>0.51780821917808262</v>
      </c>
    </row>
    <row r="110" spans="1:6" x14ac:dyDescent="0.25">
      <c r="A110" s="54">
        <v>43653</v>
      </c>
      <c r="B110" s="1">
        <v>108</v>
      </c>
      <c r="C110" s="1">
        <f t="shared" si="4"/>
        <v>106.52054794520548</v>
      </c>
      <c r="D110" s="1" t="s">
        <v>122</v>
      </c>
      <c r="E110" s="1">
        <f t="shared" si="5"/>
        <v>16.520547945205479</v>
      </c>
      <c r="F110" s="55">
        <f>Table1[[#This Row],[Degrees Into Sign]]/30</f>
        <v>0.55068493150684927</v>
      </c>
    </row>
    <row r="111" spans="1:6" x14ac:dyDescent="0.25">
      <c r="A111" s="54">
        <v>43654</v>
      </c>
      <c r="B111" s="1">
        <v>109</v>
      </c>
      <c r="C111" s="1">
        <f t="shared" si="4"/>
        <v>107.50684931506849</v>
      </c>
      <c r="D111" s="1" t="s">
        <v>122</v>
      </c>
      <c r="E111" s="1">
        <f t="shared" si="5"/>
        <v>17.506849315068493</v>
      </c>
      <c r="F111" s="55">
        <f>Table1[[#This Row],[Degrees Into Sign]]/30</f>
        <v>0.58356164383561648</v>
      </c>
    </row>
    <row r="112" spans="1:6" x14ac:dyDescent="0.25">
      <c r="A112" s="54">
        <v>43655</v>
      </c>
      <c r="B112" s="1">
        <v>110</v>
      </c>
      <c r="C112" s="1">
        <f t="shared" si="4"/>
        <v>108.49315068493151</v>
      </c>
      <c r="D112" s="1" t="s">
        <v>122</v>
      </c>
      <c r="E112" s="1">
        <f t="shared" si="5"/>
        <v>18.493150684931507</v>
      </c>
      <c r="F112" s="55">
        <f>Table1[[#This Row],[Degrees Into Sign]]/30</f>
        <v>0.61643835616438358</v>
      </c>
    </row>
    <row r="113" spans="1:6" x14ac:dyDescent="0.25">
      <c r="A113" s="54">
        <v>43656</v>
      </c>
      <c r="B113" s="1">
        <v>111</v>
      </c>
      <c r="C113" s="1">
        <f t="shared" si="4"/>
        <v>109.47945205479454</v>
      </c>
      <c r="D113" s="1" t="s">
        <v>122</v>
      </c>
      <c r="E113" s="1">
        <f t="shared" si="5"/>
        <v>19.479452054794535</v>
      </c>
      <c r="F113" s="55">
        <f>Table1[[#This Row],[Degrees Into Sign]]/30</f>
        <v>0.64931506849315113</v>
      </c>
    </row>
    <row r="114" spans="1:6" x14ac:dyDescent="0.25">
      <c r="A114" s="54">
        <v>43657</v>
      </c>
      <c r="B114" s="1">
        <v>112</v>
      </c>
      <c r="C114" s="1">
        <f t="shared" si="4"/>
        <v>110.46575342465754</v>
      </c>
      <c r="D114" s="1" t="s">
        <v>122</v>
      </c>
      <c r="E114" s="1">
        <f t="shared" si="5"/>
        <v>20.465753424657535</v>
      </c>
      <c r="F114" s="55">
        <f>Table1[[#This Row],[Degrees Into Sign]]/30</f>
        <v>0.68219178082191789</v>
      </c>
    </row>
    <row r="115" spans="1:6" x14ac:dyDescent="0.25">
      <c r="A115" s="54">
        <v>43658</v>
      </c>
      <c r="B115" s="1">
        <v>113</v>
      </c>
      <c r="C115" s="1">
        <f t="shared" si="4"/>
        <v>111.45205479452055</v>
      </c>
      <c r="D115" s="1" t="s">
        <v>122</v>
      </c>
      <c r="E115" s="1">
        <f t="shared" si="5"/>
        <v>21.452054794520549</v>
      </c>
      <c r="F115" s="55">
        <f>Table1[[#This Row],[Degrees Into Sign]]/30</f>
        <v>0.71506849315068499</v>
      </c>
    </row>
    <row r="116" spans="1:6" x14ac:dyDescent="0.25">
      <c r="A116" s="54">
        <v>43659</v>
      </c>
      <c r="B116" s="1">
        <v>114</v>
      </c>
      <c r="C116" s="1">
        <f t="shared" si="4"/>
        <v>112.43835616438356</v>
      </c>
      <c r="D116" s="1" t="s">
        <v>122</v>
      </c>
      <c r="E116" s="1">
        <f t="shared" si="5"/>
        <v>22.438356164383563</v>
      </c>
      <c r="F116" s="55">
        <f>Table1[[#This Row],[Degrees Into Sign]]/30</f>
        <v>0.74794520547945209</v>
      </c>
    </row>
    <row r="117" spans="1:6" x14ac:dyDescent="0.25">
      <c r="A117" s="54">
        <v>43660</v>
      </c>
      <c r="B117" s="1">
        <v>115</v>
      </c>
      <c r="C117" s="1">
        <f t="shared" si="4"/>
        <v>113.42465753424656</v>
      </c>
      <c r="D117" s="1" t="s">
        <v>122</v>
      </c>
      <c r="E117" s="1">
        <f t="shared" si="5"/>
        <v>23.424657534246563</v>
      </c>
      <c r="F117" s="55">
        <f>Table1[[#This Row],[Degrees Into Sign]]/30</f>
        <v>0.78082191780821875</v>
      </c>
    </row>
    <row r="118" spans="1:6" x14ac:dyDescent="0.25">
      <c r="A118" s="54">
        <v>43661</v>
      </c>
      <c r="B118" s="1">
        <v>116</v>
      </c>
      <c r="C118" s="1">
        <f t="shared" si="4"/>
        <v>114.41095890410961</v>
      </c>
      <c r="D118" s="1" t="s">
        <v>122</v>
      </c>
      <c r="E118" s="1">
        <f t="shared" si="5"/>
        <v>24.410958904109606</v>
      </c>
      <c r="F118" s="55">
        <f>Table1[[#This Row],[Degrees Into Sign]]/30</f>
        <v>0.81369863013698684</v>
      </c>
    </row>
    <row r="119" spans="1:6" x14ac:dyDescent="0.25">
      <c r="A119" s="54">
        <v>43662</v>
      </c>
      <c r="B119" s="1">
        <v>117</v>
      </c>
      <c r="C119" s="1">
        <f t="shared" si="4"/>
        <v>115.39726027397261</v>
      </c>
      <c r="D119" s="1" t="s">
        <v>122</v>
      </c>
      <c r="E119" s="1">
        <f t="shared" si="5"/>
        <v>25.397260273972606</v>
      </c>
      <c r="F119" s="55">
        <f>Table1[[#This Row],[Degrees Into Sign]]/30</f>
        <v>0.8465753424657535</v>
      </c>
    </row>
    <row r="120" spans="1:6" x14ac:dyDescent="0.25">
      <c r="A120" s="54">
        <v>43663</v>
      </c>
      <c r="B120" s="1">
        <v>118</v>
      </c>
      <c r="C120" s="1">
        <f t="shared" si="4"/>
        <v>116.38356164383562</v>
      </c>
      <c r="D120" s="1" t="s">
        <v>122</v>
      </c>
      <c r="E120" s="1">
        <f t="shared" si="5"/>
        <v>26.38356164383562</v>
      </c>
      <c r="F120" s="55">
        <f>Table1[[#This Row],[Degrees Into Sign]]/30</f>
        <v>0.87945205479452071</v>
      </c>
    </row>
    <row r="121" spans="1:6" x14ac:dyDescent="0.25">
      <c r="A121" s="54">
        <v>43664</v>
      </c>
      <c r="B121" s="1">
        <v>119</v>
      </c>
      <c r="C121" s="1">
        <f t="shared" si="4"/>
        <v>117.36986301369863</v>
      </c>
      <c r="D121" s="1" t="s">
        <v>122</v>
      </c>
      <c r="E121" s="1">
        <f t="shared" si="5"/>
        <v>27.369863013698634</v>
      </c>
      <c r="F121" s="55">
        <f>Table1[[#This Row],[Degrees Into Sign]]/30</f>
        <v>0.91232876712328781</v>
      </c>
    </row>
    <row r="122" spans="1:6" x14ac:dyDescent="0.25">
      <c r="A122" s="54">
        <v>43665</v>
      </c>
      <c r="B122" s="1">
        <v>120</v>
      </c>
      <c r="C122" s="1">
        <f t="shared" si="4"/>
        <v>118.35616438356163</v>
      </c>
      <c r="D122" s="1" t="s">
        <v>122</v>
      </c>
      <c r="E122" s="1">
        <f t="shared" si="5"/>
        <v>28.356164383561634</v>
      </c>
      <c r="F122" s="55">
        <f>Table1[[#This Row],[Degrees Into Sign]]/30</f>
        <v>0.94520547945205446</v>
      </c>
    </row>
    <row r="123" spans="1:6" x14ac:dyDescent="0.25">
      <c r="A123" s="54">
        <v>43666</v>
      </c>
      <c r="B123" s="1">
        <v>121</v>
      </c>
      <c r="C123" s="1">
        <f t="shared" si="4"/>
        <v>119.34246575342466</v>
      </c>
      <c r="D123" s="1" t="s">
        <v>122</v>
      </c>
      <c r="E123" s="1">
        <f t="shared" si="5"/>
        <v>29.342465753424662</v>
      </c>
      <c r="F123" s="55">
        <f>Table1[[#This Row],[Degrees Into Sign]]/30</f>
        <v>0.97808219178082212</v>
      </c>
    </row>
    <row r="124" spans="1:6" x14ac:dyDescent="0.25">
      <c r="A124" s="54">
        <v>43667</v>
      </c>
      <c r="B124" s="1">
        <v>122</v>
      </c>
      <c r="C124" s="1">
        <f t="shared" si="4"/>
        <v>120.32876712328768</v>
      </c>
      <c r="D124" s="1" t="s">
        <v>123</v>
      </c>
      <c r="E124" s="1">
        <f>C124-120</f>
        <v>0.3287671232876761</v>
      </c>
      <c r="F124" s="55">
        <f>Table1[[#This Row],[Degrees Into Sign]]/30</f>
        <v>1.0958904109589203E-2</v>
      </c>
    </row>
    <row r="125" spans="1:6" x14ac:dyDescent="0.25">
      <c r="A125" s="54">
        <v>43668</v>
      </c>
      <c r="B125" s="1">
        <v>123</v>
      </c>
      <c r="C125" s="1">
        <f t="shared" si="4"/>
        <v>121.31506849315069</v>
      </c>
      <c r="D125" s="1" t="s">
        <v>123</v>
      </c>
      <c r="E125" s="1">
        <f t="shared" ref="E125:E154" si="6">C125-120</f>
        <v>1.3150684931506902</v>
      </c>
      <c r="F125" s="55">
        <f>Table1[[#This Row],[Degrees Into Sign]]/30</f>
        <v>4.3835616438356338E-2</v>
      </c>
    </row>
    <row r="126" spans="1:6" x14ac:dyDescent="0.25">
      <c r="A126" s="54">
        <v>43669</v>
      </c>
      <c r="B126" s="1">
        <v>124</v>
      </c>
      <c r="C126" s="1">
        <f t="shared" si="4"/>
        <v>122.30136986301369</v>
      </c>
      <c r="D126" s="1" t="s">
        <v>123</v>
      </c>
      <c r="E126" s="1">
        <f t="shared" si="6"/>
        <v>2.3013698630136901</v>
      </c>
      <c r="F126" s="55">
        <f>Table1[[#This Row],[Degrees Into Sign]]/30</f>
        <v>7.6712328767123E-2</v>
      </c>
    </row>
    <row r="127" spans="1:6" x14ac:dyDescent="0.25">
      <c r="A127" s="54">
        <v>43670</v>
      </c>
      <c r="B127" s="1">
        <v>125</v>
      </c>
      <c r="C127" s="1">
        <f t="shared" si="4"/>
        <v>123.2876712328767</v>
      </c>
      <c r="D127" s="1" t="s">
        <v>123</v>
      </c>
      <c r="E127" s="1">
        <f t="shared" si="6"/>
        <v>3.2876712328767042</v>
      </c>
      <c r="F127" s="55">
        <f>Table1[[#This Row],[Degrees Into Sign]]/30</f>
        <v>0.10958904109589014</v>
      </c>
    </row>
    <row r="128" spans="1:6" x14ac:dyDescent="0.25">
      <c r="A128" s="54">
        <v>43671</v>
      </c>
      <c r="B128" s="1">
        <v>126</v>
      </c>
      <c r="C128" s="1">
        <f t="shared" si="4"/>
        <v>124.27397260273973</v>
      </c>
      <c r="D128" s="1" t="s">
        <v>123</v>
      </c>
      <c r="E128" s="1">
        <f t="shared" si="6"/>
        <v>4.2739726027397325</v>
      </c>
      <c r="F128" s="55">
        <f>Table1[[#This Row],[Degrees Into Sign]]/30</f>
        <v>0.14246575342465775</v>
      </c>
    </row>
    <row r="129" spans="1:6" x14ac:dyDescent="0.25">
      <c r="A129" s="54">
        <v>43672</v>
      </c>
      <c r="B129" s="1">
        <v>127</v>
      </c>
      <c r="C129" s="1">
        <f t="shared" si="4"/>
        <v>125.26027397260275</v>
      </c>
      <c r="D129" s="1" t="s">
        <v>123</v>
      </c>
      <c r="E129" s="1">
        <f t="shared" si="6"/>
        <v>5.2602739726027465</v>
      </c>
      <c r="F129" s="55">
        <f>Table1[[#This Row],[Degrees Into Sign]]/30</f>
        <v>0.17534246575342488</v>
      </c>
    </row>
    <row r="130" spans="1:6" x14ac:dyDescent="0.25">
      <c r="A130" s="54">
        <v>43673</v>
      </c>
      <c r="B130" s="1">
        <v>128</v>
      </c>
      <c r="C130" s="1">
        <f t="shared" si="4"/>
        <v>126.24657534246576</v>
      </c>
      <c r="D130" s="1" t="s">
        <v>123</v>
      </c>
      <c r="E130" s="1">
        <f t="shared" si="6"/>
        <v>6.2465753424657606</v>
      </c>
      <c r="F130" s="55">
        <f>Table1[[#This Row],[Degrees Into Sign]]/30</f>
        <v>0.20821917808219201</v>
      </c>
    </row>
    <row r="131" spans="1:6" x14ac:dyDescent="0.25">
      <c r="A131" s="54">
        <v>43674</v>
      </c>
      <c r="B131" s="1">
        <v>129</v>
      </c>
      <c r="C131" s="1">
        <f t="shared" ref="C131:C194" si="7">B131/365*360</f>
        <v>127.23287671232876</v>
      </c>
      <c r="D131" s="1" t="s">
        <v>123</v>
      </c>
      <c r="E131" s="1">
        <f t="shared" si="6"/>
        <v>7.2328767123287605</v>
      </c>
      <c r="F131" s="55">
        <f>Table1[[#This Row],[Degrees Into Sign]]/30</f>
        <v>0.24109589041095869</v>
      </c>
    </row>
    <row r="132" spans="1:6" x14ac:dyDescent="0.25">
      <c r="A132" s="54">
        <v>43675</v>
      </c>
      <c r="B132" s="1">
        <v>130</v>
      </c>
      <c r="C132" s="1">
        <f t="shared" si="7"/>
        <v>128.21917808219177</v>
      </c>
      <c r="D132" s="1" t="s">
        <v>123</v>
      </c>
      <c r="E132" s="1">
        <f t="shared" si="6"/>
        <v>8.2191780821917746</v>
      </c>
      <c r="F132" s="55">
        <f>Table1[[#This Row],[Degrees Into Sign]]/30</f>
        <v>0.27397260273972585</v>
      </c>
    </row>
    <row r="133" spans="1:6" x14ac:dyDescent="0.25">
      <c r="A133" s="54">
        <v>43676</v>
      </c>
      <c r="B133" s="1">
        <v>131</v>
      </c>
      <c r="C133" s="1">
        <f t="shared" si="7"/>
        <v>129.20547945205482</v>
      </c>
      <c r="D133" s="1" t="s">
        <v>123</v>
      </c>
      <c r="E133" s="1">
        <f t="shared" si="6"/>
        <v>9.2054794520548171</v>
      </c>
      <c r="F133" s="55">
        <f>Table1[[#This Row],[Degrees Into Sign]]/30</f>
        <v>0.30684931506849389</v>
      </c>
    </row>
    <row r="134" spans="1:6" x14ac:dyDescent="0.25">
      <c r="A134" s="54">
        <v>43677</v>
      </c>
      <c r="B134" s="1">
        <v>132</v>
      </c>
      <c r="C134" s="1">
        <f t="shared" si="7"/>
        <v>130.1917808219178</v>
      </c>
      <c r="D134" s="1" t="s">
        <v>123</v>
      </c>
      <c r="E134" s="1">
        <f t="shared" si="6"/>
        <v>10.191780821917803</v>
      </c>
      <c r="F134" s="55">
        <f>Table1[[#This Row],[Degrees Into Sign]]/30</f>
        <v>0.3397260273972601</v>
      </c>
    </row>
    <row r="135" spans="1:6" x14ac:dyDescent="0.25">
      <c r="A135" s="54">
        <v>43678</v>
      </c>
      <c r="B135" s="1">
        <v>133</v>
      </c>
      <c r="C135" s="1">
        <f t="shared" si="7"/>
        <v>131.17808219178082</v>
      </c>
      <c r="D135" s="1" t="s">
        <v>123</v>
      </c>
      <c r="E135" s="1">
        <f t="shared" si="6"/>
        <v>11.178082191780817</v>
      </c>
      <c r="F135" s="55">
        <f>Table1[[#This Row],[Degrees Into Sign]]/30</f>
        <v>0.37260273972602725</v>
      </c>
    </row>
    <row r="136" spans="1:6" x14ac:dyDescent="0.25">
      <c r="A136" s="54">
        <v>43679</v>
      </c>
      <c r="B136" s="1">
        <v>134</v>
      </c>
      <c r="C136" s="1">
        <f t="shared" si="7"/>
        <v>132.16438356164383</v>
      </c>
      <c r="D136" s="1" t="s">
        <v>123</v>
      </c>
      <c r="E136" s="1">
        <f t="shared" si="6"/>
        <v>12.164383561643831</v>
      </c>
      <c r="F136" s="55">
        <f>Table1[[#This Row],[Degrees Into Sign]]/30</f>
        <v>0.40547945205479435</v>
      </c>
    </row>
    <row r="137" spans="1:6" x14ac:dyDescent="0.25">
      <c r="A137" s="54">
        <v>43680</v>
      </c>
      <c r="B137" s="1">
        <v>135</v>
      </c>
      <c r="C137" s="1">
        <f t="shared" si="7"/>
        <v>133.15068493150685</v>
      </c>
      <c r="D137" s="1" t="s">
        <v>123</v>
      </c>
      <c r="E137" s="1">
        <f t="shared" si="6"/>
        <v>13.150684931506845</v>
      </c>
      <c r="F137" s="55">
        <f>Table1[[#This Row],[Degrees Into Sign]]/30</f>
        <v>0.43835616438356151</v>
      </c>
    </row>
    <row r="138" spans="1:6" x14ac:dyDescent="0.25">
      <c r="A138" s="54">
        <v>43681</v>
      </c>
      <c r="B138" s="1">
        <v>136</v>
      </c>
      <c r="C138" s="1">
        <f t="shared" si="7"/>
        <v>134.13698630136986</v>
      </c>
      <c r="D138" s="1" t="s">
        <v>123</v>
      </c>
      <c r="E138" s="1">
        <f t="shared" si="6"/>
        <v>14.136986301369859</v>
      </c>
      <c r="F138" s="55">
        <f>Table1[[#This Row],[Degrees Into Sign]]/30</f>
        <v>0.47123287671232866</v>
      </c>
    </row>
    <row r="139" spans="1:6" x14ac:dyDescent="0.25">
      <c r="A139" s="54">
        <v>43682</v>
      </c>
      <c r="B139" s="1">
        <v>137</v>
      </c>
      <c r="C139" s="1">
        <f t="shared" si="7"/>
        <v>135.12328767123287</v>
      </c>
      <c r="D139" s="1" t="s">
        <v>123</v>
      </c>
      <c r="E139" s="1">
        <f t="shared" si="6"/>
        <v>15.123287671232873</v>
      </c>
      <c r="F139" s="55">
        <f>Table1[[#This Row],[Degrees Into Sign]]/30</f>
        <v>0.50410958904109582</v>
      </c>
    </row>
    <row r="140" spans="1:6" x14ac:dyDescent="0.25">
      <c r="A140" s="54">
        <v>43683</v>
      </c>
      <c r="B140" s="1">
        <v>138</v>
      </c>
      <c r="C140" s="1">
        <f t="shared" si="7"/>
        <v>136.10958904109589</v>
      </c>
      <c r="D140" s="1" t="s">
        <v>123</v>
      </c>
      <c r="E140" s="1">
        <f t="shared" si="6"/>
        <v>16.109589041095887</v>
      </c>
      <c r="F140" s="55">
        <f>Table1[[#This Row],[Degrees Into Sign]]/30</f>
        <v>0.53698630136986292</v>
      </c>
    </row>
    <row r="141" spans="1:6" x14ac:dyDescent="0.25">
      <c r="A141" s="54">
        <v>43684</v>
      </c>
      <c r="B141" s="1">
        <v>139</v>
      </c>
      <c r="C141" s="1">
        <f t="shared" si="7"/>
        <v>137.0958904109589</v>
      </c>
      <c r="D141" s="1" t="s">
        <v>123</v>
      </c>
      <c r="E141" s="1">
        <f t="shared" si="6"/>
        <v>17.095890410958901</v>
      </c>
      <c r="F141" s="55">
        <f>Table1[[#This Row],[Degrees Into Sign]]/30</f>
        <v>0.56986301369863002</v>
      </c>
    </row>
    <row r="142" spans="1:6" x14ac:dyDescent="0.25">
      <c r="A142" s="54">
        <v>43685</v>
      </c>
      <c r="B142" s="1">
        <v>140</v>
      </c>
      <c r="C142" s="1">
        <f t="shared" si="7"/>
        <v>138.08219178082192</v>
      </c>
      <c r="D142" s="1" t="s">
        <v>123</v>
      </c>
      <c r="E142" s="1">
        <f t="shared" si="6"/>
        <v>18.082191780821915</v>
      </c>
      <c r="F142" s="55">
        <f>Table1[[#This Row],[Degrees Into Sign]]/30</f>
        <v>0.60273972602739723</v>
      </c>
    </row>
    <row r="143" spans="1:6" x14ac:dyDescent="0.25">
      <c r="A143" s="54">
        <v>43686</v>
      </c>
      <c r="B143" s="1">
        <v>141</v>
      </c>
      <c r="C143" s="1">
        <f t="shared" si="7"/>
        <v>139.06849315068493</v>
      </c>
      <c r="D143" s="1" t="s">
        <v>123</v>
      </c>
      <c r="E143" s="1">
        <f t="shared" si="6"/>
        <v>19.06849315068493</v>
      </c>
      <c r="F143" s="55">
        <f>Table1[[#This Row],[Degrees Into Sign]]/30</f>
        <v>0.63561643835616433</v>
      </c>
    </row>
    <row r="144" spans="1:6" x14ac:dyDescent="0.25">
      <c r="A144" s="54">
        <v>43687</v>
      </c>
      <c r="B144" s="1">
        <v>142</v>
      </c>
      <c r="C144" s="1">
        <f t="shared" si="7"/>
        <v>140.05479452054794</v>
      </c>
      <c r="D144" s="1" t="s">
        <v>123</v>
      </c>
      <c r="E144" s="1">
        <f t="shared" si="6"/>
        <v>20.054794520547944</v>
      </c>
      <c r="F144" s="55">
        <f>Table1[[#This Row],[Degrees Into Sign]]/30</f>
        <v>0.66849315068493143</v>
      </c>
    </row>
    <row r="145" spans="1:6" x14ac:dyDescent="0.25">
      <c r="A145" s="54">
        <v>43688</v>
      </c>
      <c r="B145" s="1">
        <v>143</v>
      </c>
      <c r="C145" s="1">
        <f t="shared" si="7"/>
        <v>141.04109589041096</v>
      </c>
      <c r="D145" s="1" t="s">
        <v>123</v>
      </c>
      <c r="E145" s="1">
        <f t="shared" si="6"/>
        <v>21.041095890410958</v>
      </c>
      <c r="F145" s="55">
        <f>Table1[[#This Row],[Degrees Into Sign]]/30</f>
        <v>0.70136986301369864</v>
      </c>
    </row>
    <row r="146" spans="1:6" x14ac:dyDescent="0.25">
      <c r="A146" s="54">
        <v>43689</v>
      </c>
      <c r="B146" s="1">
        <v>144</v>
      </c>
      <c r="C146" s="1">
        <f t="shared" si="7"/>
        <v>142.02739726027397</v>
      </c>
      <c r="D146" s="1" t="s">
        <v>123</v>
      </c>
      <c r="E146" s="1">
        <f t="shared" si="6"/>
        <v>22.027397260273972</v>
      </c>
      <c r="F146" s="55">
        <f>Table1[[#This Row],[Degrees Into Sign]]/30</f>
        <v>0.73424657534246573</v>
      </c>
    </row>
    <row r="147" spans="1:6" x14ac:dyDescent="0.25">
      <c r="A147" s="54">
        <v>43690</v>
      </c>
      <c r="B147" s="1">
        <v>145</v>
      </c>
      <c r="C147" s="1">
        <f t="shared" si="7"/>
        <v>143.01369863013699</v>
      </c>
      <c r="D147" s="1" t="s">
        <v>123</v>
      </c>
      <c r="E147" s="1">
        <f t="shared" si="6"/>
        <v>23.013698630136986</v>
      </c>
      <c r="F147" s="55">
        <f>Table1[[#This Row],[Degrees Into Sign]]/30</f>
        <v>0.76712328767123283</v>
      </c>
    </row>
    <row r="148" spans="1:6" x14ac:dyDescent="0.25">
      <c r="A148" s="54">
        <v>43691</v>
      </c>
      <c r="B148" s="1">
        <v>146</v>
      </c>
      <c r="C148" s="1">
        <f t="shared" si="7"/>
        <v>144</v>
      </c>
      <c r="D148" s="1" t="s">
        <v>123</v>
      </c>
      <c r="E148" s="1">
        <f t="shared" si="6"/>
        <v>24</v>
      </c>
      <c r="F148" s="55">
        <f>Table1[[#This Row],[Degrees Into Sign]]/30</f>
        <v>0.8</v>
      </c>
    </row>
    <row r="149" spans="1:6" x14ac:dyDescent="0.25">
      <c r="A149" s="54">
        <v>43692</v>
      </c>
      <c r="B149" s="1">
        <v>147</v>
      </c>
      <c r="C149" s="1">
        <f t="shared" si="7"/>
        <v>144.98630136986301</v>
      </c>
      <c r="D149" s="1" t="s">
        <v>123</v>
      </c>
      <c r="E149" s="1">
        <f t="shared" si="6"/>
        <v>24.986301369863014</v>
      </c>
      <c r="F149" s="55">
        <f>Table1[[#This Row],[Degrees Into Sign]]/30</f>
        <v>0.83287671232876714</v>
      </c>
    </row>
    <row r="150" spans="1:6" x14ac:dyDescent="0.25">
      <c r="A150" s="54">
        <v>43693</v>
      </c>
      <c r="B150" s="1">
        <v>148</v>
      </c>
      <c r="C150" s="1">
        <f t="shared" si="7"/>
        <v>145.97260273972603</v>
      </c>
      <c r="D150" s="1" t="s">
        <v>123</v>
      </c>
      <c r="E150" s="1">
        <f t="shared" si="6"/>
        <v>25.972602739726028</v>
      </c>
      <c r="F150" s="55">
        <f>Table1[[#This Row],[Degrees Into Sign]]/30</f>
        <v>0.86575342465753424</v>
      </c>
    </row>
    <row r="151" spans="1:6" x14ac:dyDescent="0.25">
      <c r="A151" s="54">
        <v>43694</v>
      </c>
      <c r="B151" s="1">
        <v>149</v>
      </c>
      <c r="C151" s="1">
        <f t="shared" si="7"/>
        <v>146.95890410958904</v>
      </c>
      <c r="D151" s="1" t="s">
        <v>123</v>
      </c>
      <c r="E151" s="1">
        <f t="shared" si="6"/>
        <v>26.958904109589042</v>
      </c>
      <c r="F151" s="55">
        <f>Table1[[#This Row],[Degrees Into Sign]]/30</f>
        <v>0.89863013698630145</v>
      </c>
    </row>
    <row r="152" spans="1:6" x14ac:dyDescent="0.25">
      <c r="A152" s="54">
        <v>43695</v>
      </c>
      <c r="B152" s="1">
        <v>150</v>
      </c>
      <c r="C152" s="1">
        <f t="shared" si="7"/>
        <v>147.94520547945206</v>
      </c>
      <c r="D152" s="1" t="s">
        <v>123</v>
      </c>
      <c r="E152" s="1">
        <f t="shared" si="6"/>
        <v>27.945205479452056</v>
      </c>
      <c r="F152" s="55">
        <f>Table1[[#This Row],[Degrees Into Sign]]/30</f>
        <v>0.93150684931506855</v>
      </c>
    </row>
    <row r="153" spans="1:6" x14ac:dyDescent="0.25">
      <c r="A153" s="54">
        <v>43696</v>
      </c>
      <c r="B153" s="1">
        <v>151</v>
      </c>
      <c r="C153" s="1">
        <f t="shared" si="7"/>
        <v>148.93150684931507</v>
      </c>
      <c r="D153" s="1" t="s">
        <v>123</v>
      </c>
      <c r="E153" s="1">
        <f t="shared" si="6"/>
        <v>28.93150684931507</v>
      </c>
      <c r="F153" s="55">
        <f>Table1[[#This Row],[Degrees Into Sign]]/30</f>
        <v>0.96438356164383565</v>
      </c>
    </row>
    <row r="154" spans="1:6" x14ac:dyDescent="0.25">
      <c r="A154" s="54">
        <v>43697</v>
      </c>
      <c r="B154" s="1">
        <v>152</v>
      </c>
      <c r="C154" s="1">
        <f t="shared" si="7"/>
        <v>149.91780821917808</v>
      </c>
      <c r="D154" s="1" t="s">
        <v>123</v>
      </c>
      <c r="E154" s="1">
        <f t="shared" si="6"/>
        <v>29.917808219178085</v>
      </c>
      <c r="F154" s="55">
        <f>Table1[[#This Row],[Degrees Into Sign]]/30</f>
        <v>0.99726027397260286</v>
      </c>
    </row>
    <row r="155" spans="1:6" x14ac:dyDescent="0.25">
      <c r="A155" s="54">
        <v>43698</v>
      </c>
      <c r="B155" s="1">
        <v>153</v>
      </c>
      <c r="C155" s="1">
        <f t="shared" si="7"/>
        <v>150.9041095890411</v>
      </c>
      <c r="D155" s="1" t="s">
        <v>124</v>
      </c>
      <c r="E155" s="1">
        <f>C155-150</f>
        <v>0.90410958904109862</v>
      </c>
      <c r="F155" s="55">
        <f>Table1[[#This Row],[Degrees Into Sign]]/30</f>
        <v>3.0136986301369954E-2</v>
      </c>
    </row>
    <row r="156" spans="1:6" x14ac:dyDescent="0.25">
      <c r="A156" s="54">
        <v>43699</v>
      </c>
      <c r="B156" s="1">
        <v>154</v>
      </c>
      <c r="C156" s="1">
        <f t="shared" si="7"/>
        <v>151.89041095890411</v>
      </c>
      <c r="D156" s="1" t="s">
        <v>124</v>
      </c>
      <c r="E156" s="1">
        <f t="shared" ref="E156:E184" si="8">C156-150</f>
        <v>1.8904109589041127</v>
      </c>
      <c r="F156" s="55">
        <f>Table1[[#This Row],[Degrees Into Sign]]/30</f>
        <v>6.3013698630137088E-2</v>
      </c>
    </row>
    <row r="157" spans="1:6" x14ac:dyDescent="0.25">
      <c r="A157" s="54">
        <v>43700</v>
      </c>
      <c r="B157" s="1">
        <v>155</v>
      </c>
      <c r="C157" s="1">
        <f t="shared" si="7"/>
        <v>152.87671232876713</v>
      </c>
      <c r="D157" s="1" t="s">
        <v>124</v>
      </c>
      <c r="E157" s="1">
        <f t="shared" si="8"/>
        <v>2.8767123287671268</v>
      </c>
      <c r="F157" s="55">
        <f>Table1[[#This Row],[Degrees Into Sign]]/30</f>
        <v>9.5890410958904229E-2</v>
      </c>
    </row>
    <row r="158" spans="1:6" x14ac:dyDescent="0.25">
      <c r="A158" s="54">
        <v>43701</v>
      </c>
      <c r="B158" s="1">
        <v>156</v>
      </c>
      <c r="C158" s="1">
        <f t="shared" si="7"/>
        <v>153.86301369863014</v>
      </c>
      <c r="D158" s="1" t="s">
        <v>124</v>
      </c>
      <c r="E158" s="1">
        <f t="shared" si="8"/>
        <v>3.8630136986301409</v>
      </c>
      <c r="F158" s="55">
        <f>Table1[[#This Row],[Degrees Into Sign]]/30</f>
        <v>0.12876712328767137</v>
      </c>
    </row>
    <row r="159" spans="1:6" x14ac:dyDescent="0.25">
      <c r="A159" s="54">
        <v>43702</v>
      </c>
      <c r="B159" s="1">
        <v>157</v>
      </c>
      <c r="C159" s="1">
        <f t="shared" si="7"/>
        <v>154.84931506849315</v>
      </c>
      <c r="D159" s="1" t="s">
        <v>124</v>
      </c>
      <c r="E159" s="1">
        <f t="shared" si="8"/>
        <v>4.849315068493155</v>
      </c>
      <c r="F159" s="55">
        <f>Table1[[#This Row],[Degrees Into Sign]]/30</f>
        <v>0.1616438356164385</v>
      </c>
    </row>
    <row r="160" spans="1:6" x14ac:dyDescent="0.25">
      <c r="A160" s="54">
        <v>43703</v>
      </c>
      <c r="B160" s="1">
        <v>158</v>
      </c>
      <c r="C160" s="1">
        <f t="shared" si="7"/>
        <v>155.83561643835617</v>
      </c>
      <c r="D160" s="1" t="s">
        <v>124</v>
      </c>
      <c r="E160" s="1">
        <f t="shared" si="8"/>
        <v>5.8356164383561691</v>
      </c>
      <c r="F160" s="55">
        <f>Table1[[#This Row],[Degrees Into Sign]]/30</f>
        <v>0.19452054794520562</v>
      </c>
    </row>
    <row r="161" spans="1:6" x14ac:dyDescent="0.25">
      <c r="A161" s="54">
        <v>43704</v>
      </c>
      <c r="B161" s="1">
        <v>159</v>
      </c>
      <c r="C161" s="1">
        <f t="shared" si="7"/>
        <v>156.82191780821918</v>
      </c>
      <c r="D161" s="1" t="s">
        <v>124</v>
      </c>
      <c r="E161" s="1">
        <f t="shared" si="8"/>
        <v>6.8219178082191831</v>
      </c>
      <c r="F161" s="55">
        <f>Table1[[#This Row],[Degrees Into Sign]]/30</f>
        <v>0.22739726027397278</v>
      </c>
    </row>
    <row r="162" spans="1:6" x14ac:dyDescent="0.25">
      <c r="A162" s="54">
        <v>43705</v>
      </c>
      <c r="B162" s="1">
        <v>160</v>
      </c>
      <c r="C162" s="1">
        <f t="shared" si="7"/>
        <v>157.8082191780822</v>
      </c>
      <c r="D162" s="1" t="s">
        <v>124</v>
      </c>
      <c r="E162" s="1">
        <f t="shared" si="8"/>
        <v>7.8082191780821972</v>
      </c>
      <c r="F162" s="55">
        <f>Table1[[#This Row],[Degrees Into Sign]]/30</f>
        <v>0.26027397260273993</v>
      </c>
    </row>
    <row r="163" spans="1:6" x14ac:dyDescent="0.25">
      <c r="A163" s="54">
        <v>43706</v>
      </c>
      <c r="B163" s="1">
        <v>161</v>
      </c>
      <c r="C163" s="1">
        <f t="shared" si="7"/>
        <v>158.79452054794521</v>
      </c>
      <c r="D163" s="1" t="s">
        <v>124</v>
      </c>
      <c r="E163" s="1">
        <f t="shared" si="8"/>
        <v>8.7945205479452113</v>
      </c>
      <c r="F163" s="55">
        <f>Table1[[#This Row],[Degrees Into Sign]]/30</f>
        <v>0.29315068493150703</v>
      </c>
    </row>
    <row r="164" spans="1:6" x14ac:dyDescent="0.25">
      <c r="A164" s="54">
        <v>43707</v>
      </c>
      <c r="B164" s="1">
        <v>162</v>
      </c>
      <c r="C164" s="1">
        <f t="shared" si="7"/>
        <v>159.78082191780823</v>
      </c>
      <c r="D164" s="1" t="s">
        <v>124</v>
      </c>
      <c r="E164" s="1">
        <f t="shared" si="8"/>
        <v>9.7808219178082254</v>
      </c>
      <c r="F164" s="55">
        <f>Table1[[#This Row],[Degrees Into Sign]]/30</f>
        <v>0.32602739726027419</v>
      </c>
    </row>
    <row r="165" spans="1:6" x14ac:dyDescent="0.25">
      <c r="A165" s="54">
        <v>43708</v>
      </c>
      <c r="B165" s="1">
        <v>163</v>
      </c>
      <c r="C165" s="1">
        <f t="shared" si="7"/>
        <v>160.76712328767124</v>
      </c>
      <c r="D165" s="1" t="s">
        <v>124</v>
      </c>
      <c r="E165" s="1">
        <f t="shared" si="8"/>
        <v>10.767123287671239</v>
      </c>
      <c r="F165" s="55">
        <f>Table1[[#This Row],[Degrees Into Sign]]/30</f>
        <v>0.35890410958904134</v>
      </c>
    </row>
    <row r="166" spans="1:6" x14ac:dyDescent="0.25">
      <c r="A166" s="54">
        <v>43709</v>
      </c>
      <c r="B166" s="1">
        <v>164</v>
      </c>
      <c r="C166" s="1">
        <f t="shared" si="7"/>
        <v>161.75342465753425</v>
      </c>
      <c r="D166" s="1" t="s">
        <v>124</v>
      </c>
      <c r="E166" s="1">
        <f t="shared" si="8"/>
        <v>11.753424657534254</v>
      </c>
      <c r="F166" s="55">
        <f>Table1[[#This Row],[Degrees Into Sign]]/30</f>
        <v>0.39178082191780844</v>
      </c>
    </row>
    <row r="167" spans="1:6" x14ac:dyDescent="0.25">
      <c r="A167" s="54">
        <v>43710</v>
      </c>
      <c r="B167" s="1">
        <v>165</v>
      </c>
      <c r="C167" s="1">
        <f t="shared" si="7"/>
        <v>162.73972602739724</v>
      </c>
      <c r="D167" s="1" t="s">
        <v>124</v>
      </c>
      <c r="E167" s="1">
        <f t="shared" si="8"/>
        <v>12.739726027397239</v>
      </c>
      <c r="F167" s="55">
        <f>Table1[[#This Row],[Degrees Into Sign]]/30</f>
        <v>0.42465753424657465</v>
      </c>
    </row>
    <row r="168" spans="1:6" x14ac:dyDescent="0.25">
      <c r="A168" s="54">
        <v>43711</v>
      </c>
      <c r="B168" s="1">
        <v>166</v>
      </c>
      <c r="C168" s="1">
        <f t="shared" si="7"/>
        <v>163.72602739726028</v>
      </c>
      <c r="D168" s="1" t="s">
        <v>124</v>
      </c>
      <c r="E168" s="1">
        <f t="shared" si="8"/>
        <v>13.726027397260282</v>
      </c>
      <c r="F168" s="55">
        <f>Table1[[#This Row],[Degrees Into Sign]]/30</f>
        <v>0.45753424657534275</v>
      </c>
    </row>
    <row r="169" spans="1:6" x14ac:dyDescent="0.25">
      <c r="A169" s="54">
        <v>43712</v>
      </c>
      <c r="B169" s="1">
        <v>167</v>
      </c>
      <c r="C169" s="1">
        <f t="shared" si="7"/>
        <v>164.7123287671233</v>
      </c>
      <c r="D169" s="1" t="s">
        <v>124</v>
      </c>
      <c r="E169" s="1">
        <f t="shared" si="8"/>
        <v>14.712328767123296</v>
      </c>
      <c r="F169" s="55">
        <f>Table1[[#This Row],[Degrees Into Sign]]/30</f>
        <v>0.49041095890410985</v>
      </c>
    </row>
    <row r="170" spans="1:6" x14ac:dyDescent="0.25">
      <c r="A170" s="54">
        <v>43713</v>
      </c>
      <c r="B170" s="1">
        <v>168</v>
      </c>
      <c r="C170" s="1">
        <f t="shared" si="7"/>
        <v>165.69863013698631</v>
      </c>
      <c r="D170" s="1" t="s">
        <v>124</v>
      </c>
      <c r="E170" s="1">
        <f t="shared" si="8"/>
        <v>15.69863013698631</v>
      </c>
      <c r="F170" s="55">
        <f>Table1[[#This Row],[Degrees Into Sign]]/30</f>
        <v>0.52328767123287701</v>
      </c>
    </row>
    <row r="171" spans="1:6" x14ac:dyDescent="0.25">
      <c r="A171" s="54">
        <v>43714</v>
      </c>
      <c r="B171" s="1">
        <v>169</v>
      </c>
      <c r="C171" s="1">
        <f t="shared" si="7"/>
        <v>166.6849315068493</v>
      </c>
      <c r="D171" s="1" t="s">
        <v>124</v>
      </c>
      <c r="E171" s="1">
        <f t="shared" si="8"/>
        <v>16.684931506849296</v>
      </c>
      <c r="F171" s="55">
        <f>Table1[[#This Row],[Degrees Into Sign]]/30</f>
        <v>0.55616438356164322</v>
      </c>
    </row>
    <row r="172" spans="1:6" x14ac:dyDescent="0.25">
      <c r="A172" s="54">
        <v>43715</v>
      </c>
      <c r="B172" s="1">
        <v>170</v>
      </c>
      <c r="C172" s="1">
        <f t="shared" si="7"/>
        <v>167.67123287671231</v>
      </c>
      <c r="D172" s="1" t="s">
        <v>124</v>
      </c>
      <c r="E172" s="1">
        <f t="shared" si="8"/>
        <v>17.67123287671231</v>
      </c>
      <c r="F172" s="55">
        <f>Table1[[#This Row],[Degrees Into Sign]]/30</f>
        <v>0.58904109589041032</v>
      </c>
    </row>
    <row r="173" spans="1:6" x14ac:dyDescent="0.25">
      <c r="A173" s="54">
        <v>43716</v>
      </c>
      <c r="B173" s="1">
        <v>171</v>
      </c>
      <c r="C173" s="1">
        <f t="shared" si="7"/>
        <v>168.65753424657535</v>
      </c>
      <c r="D173" s="1" t="s">
        <v>124</v>
      </c>
      <c r="E173" s="1">
        <f t="shared" si="8"/>
        <v>18.657534246575352</v>
      </c>
      <c r="F173" s="55">
        <f>Table1[[#This Row],[Degrees Into Sign]]/30</f>
        <v>0.62191780821917841</v>
      </c>
    </row>
    <row r="174" spans="1:6" x14ac:dyDescent="0.25">
      <c r="A174" s="54">
        <v>43717</v>
      </c>
      <c r="B174" s="1">
        <v>172</v>
      </c>
      <c r="C174" s="1">
        <f t="shared" si="7"/>
        <v>169.64383561643837</v>
      </c>
      <c r="D174" s="1" t="s">
        <v>124</v>
      </c>
      <c r="E174" s="1">
        <f t="shared" si="8"/>
        <v>19.643835616438366</v>
      </c>
      <c r="F174" s="55">
        <f>Table1[[#This Row],[Degrees Into Sign]]/30</f>
        <v>0.65479452054794551</v>
      </c>
    </row>
    <row r="175" spans="1:6" x14ac:dyDescent="0.25">
      <c r="A175" s="54">
        <v>43718</v>
      </c>
      <c r="B175" s="1">
        <v>173</v>
      </c>
      <c r="C175" s="1">
        <f t="shared" si="7"/>
        <v>170.63013698630138</v>
      </c>
      <c r="D175" s="1" t="s">
        <v>124</v>
      </c>
      <c r="E175" s="1">
        <f t="shared" si="8"/>
        <v>20.63013698630138</v>
      </c>
      <c r="F175" s="55">
        <f>Table1[[#This Row],[Degrees Into Sign]]/30</f>
        <v>0.68767123287671272</v>
      </c>
    </row>
    <row r="176" spans="1:6" x14ac:dyDescent="0.25">
      <c r="A176" s="54">
        <v>43719</v>
      </c>
      <c r="B176" s="1">
        <v>174</v>
      </c>
      <c r="C176" s="1">
        <f t="shared" si="7"/>
        <v>171.61643835616437</v>
      </c>
      <c r="D176" s="1" t="s">
        <v>124</v>
      </c>
      <c r="E176" s="1">
        <f t="shared" si="8"/>
        <v>21.616438356164366</v>
      </c>
      <c r="F176" s="55">
        <f>Table1[[#This Row],[Degrees Into Sign]]/30</f>
        <v>0.72054794520547882</v>
      </c>
    </row>
    <row r="177" spans="1:6" x14ac:dyDescent="0.25">
      <c r="A177" s="54">
        <v>43720</v>
      </c>
      <c r="B177" s="1">
        <v>175</v>
      </c>
      <c r="C177" s="1">
        <f t="shared" si="7"/>
        <v>172.60273972602738</v>
      </c>
      <c r="D177" s="1" t="s">
        <v>124</v>
      </c>
      <c r="E177" s="1">
        <f t="shared" si="8"/>
        <v>22.60273972602738</v>
      </c>
      <c r="F177" s="55">
        <f>Table1[[#This Row],[Degrees Into Sign]]/30</f>
        <v>0.75342465753424603</v>
      </c>
    </row>
    <row r="178" spans="1:6" x14ac:dyDescent="0.25">
      <c r="A178" s="54">
        <v>43721</v>
      </c>
      <c r="B178" s="1">
        <v>176</v>
      </c>
      <c r="C178" s="1">
        <f t="shared" si="7"/>
        <v>173.58904109589042</v>
      </c>
      <c r="D178" s="1" t="s">
        <v>124</v>
      </c>
      <c r="E178" s="1">
        <f t="shared" si="8"/>
        <v>23.589041095890423</v>
      </c>
      <c r="F178" s="55">
        <f>Table1[[#This Row],[Degrees Into Sign]]/30</f>
        <v>0.78630136986301413</v>
      </c>
    </row>
    <row r="179" spans="1:6" x14ac:dyDescent="0.25">
      <c r="A179" s="54">
        <v>43722</v>
      </c>
      <c r="B179" s="1">
        <v>177</v>
      </c>
      <c r="C179" s="1">
        <f t="shared" si="7"/>
        <v>174.57534246575344</v>
      </c>
      <c r="D179" s="1" t="s">
        <v>124</v>
      </c>
      <c r="E179" s="1">
        <f t="shared" si="8"/>
        <v>24.575342465753437</v>
      </c>
      <c r="F179" s="55">
        <f>Table1[[#This Row],[Degrees Into Sign]]/30</f>
        <v>0.81917808219178123</v>
      </c>
    </row>
    <row r="180" spans="1:6" x14ac:dyDescent="0.25">
      <c r="A180" s="54">
        <v>43723</v>
      </c>
      <c r="B180" s="1">
        <v>178</v>
      </c>
      <c r="C180" s="1">
        <f t="shared" si="7"/>
        <v>175.56164383561645</v>
      </c>
      <c r="D180" s="1" t="s">
        <v>124</v>
      </c>
      <c r="E180" s="1">
        <f t="shared" si="8"/>
        <v>25.561643835616451</v>
      </c>
      <c r="F180" s="55">
        <f>Table1[[#This Row],[Degrees Into Sign]]/30</f>
        <v>0.85205479452054833</v>
      </c>
    </row>
    <row r="181" spans="1:6" x14ac:dyDescent="0.25">
      <c r="A181" s="54">
        <v>43724</v>
      </c>
      <c r="B181" s="1">
        <v>179</v>
      </c>
      <c r="C181" s="1">
        <f t="shared" si="7"/>
        <v>176.54794520547944</v>
      </c>
      <c r="D181" s="1" t="s">
        <v>124</v>
      </c>
      <c r="E181" s="1">
        <f t="shared" si="8"/>
        <v>26.547945205479436</v>
      </c>
      <c r="F181" s="55">
        <f>Table1[[#This Row],[Degrees Into Sign]]/30</f>
        <v>0.88493150684931454</v>
      </c>
    </row>
    <row r="182" spans="1:6" x14ac:dyDescent="0.25">
      <c r="A182" s="54">
        <v>43725</v>
      </c>
      <c r="B182" s="1">
        <v>180</v>
      </c>
      <c r="C182" s="1">
        <f t="shared" si="7"/>
        <v>177.53424657534245</v>
      </c>
      <c r="D182" s="1" t="s">
        <v>124</v>
      </c>
      <c r="E182" s="1">
        <f t="shared" si="8"/>
        <v>27.534246575342451</v>
      </c>
      <c r="F182" s="55">
        <f>Table1[[#This Row],[Degrees Into Sign]]/30</f>
        <v>0.91780821917808164</v>
      </c>
    </row>
    <row r="183" spans="1:6" x14ac:dyDescent="0.25">
      <c r="A183" s="54">
        <v>43726</v>
      </c>
      <c r="B183" s="1">
        <v>181</v>
      </c>
      <c r="C183" s="1">
        <f t="shared" si="7"/>
        <v>178.52054794520549</v>
      </c>
      <c r="D183" s="1" t="s">
        <v>124</v>
      </c>
      <c r="E183" s="1">
        <f t="shared" si="8"/>
        <v>28.520547945205493</v>
      </c>
      <c r="F183" s="55">
        <f>Table1[[#This Row],[Degrees Into Sign]]/30</f>
        <v>0.95068493150684974</v>
      </c>
    </row>
    <row r="184" spans="1:6" x14ac:dyDescent="0.25">
      <c r="A184" s="54">
        <v>43727</v>
      </c>
      <c r="B184" s="1">
        <v>182</v>
      </c>
      <c r="C184" s="1">
        <f t="shared" si="7"/>
        <v>179.50684931506851</v>
      </c>
      <c r="D184" s="1" t="s">
        <v>124</v>
      </c>
      <c r="E184" s="1">
        <f t="shared" si="8"/>
        <v>29.506849315068507</v>
      </c>
      <c r="F184" s="55">
        <f>Table1[[#This Row],[Degrees Into Sign]]/30</f>
        <v>0.98356164383561695</v>
      </c>
    </row>
    <row r="185" spans="1:6" x14ac:dyDescent="0.25">
      <c r="A185" s="54">
        <v>43728</v>
      </c>
      <c r="B185" s="1">
        <v>183</v>
      </c>
      <c r="C185" s="1">
        <f t="shared" si="7"/>
        <v>180.49315068493152</v>
      </c>
      <c r="D185" s="1" t="s">
        <v>125</v>
      </c>
      <c r="E185" s="1">
        <f>C185-180</f>
        <v>0.49315068493152125</v>
      </c>
      <c r="F185" s="55">
        <f>Table1[[#This Row],[Degrees Into Sign]]/30</f>
        <v>1.6438356164384042E-2</v>
      </c>
    </row>
    <row r="186" spans="1:6" x14ac:dyDescent="0.25">
      <c r="A186" s="54">
        <v>43729</v>
      </c>
      <c r="B186" s="1">
        <v>184</v>
      </c>
      <c r="C186" s="1">
        <f t="shared" si="7"/>
        <v>181.47945205479454</v>
      </c>
      <c r="D186" s="1" t="s">
        <v>125</v>
      </c>
      <c r="E186" s="1">
        <f t="shared" ref="E186:E214" si="9">C186-180</f>
        <v>1.4794520547945353</v>
      </c>
      <c r="F186" s="55">
        <f>Table1[[#This Row],[Degrees Into Sign]]/30</f>
        <v>4.9315068493151176E-2</v>
      </c>
    </row>
    <row r="187" spans="1:6" x14ac:dyDescent="0.25">
      <c r="A187" s="54">
        <v>43730</v>
      </c>
      <c r="B187" s="1">
        <v>185</v>
      </c>
      <c r="C187" s="1">
        <f t="shared" si="7"/>
        <v>182.46575342465755</v>
      </c>
      <c r="D187" s="1" t="s">
        <v>125</v>
      </c>
      <c r="E187" s="1">
        <f t="shared" si="9"/>
        <v>2.4657534246575494</v>
      </c>
      <c r="F187" s="55">
        <f>Table1[[#This Row],[Degrees Into Sign]]/30</f>
        <v>8.2191780821918317E-2</v>
      </c>
    </row>
    <row r="188" spans="1:6" x14ac:dyDescent="0.25">
      <c r="A188" s="54">
        <v>43731</v>
      </c>
      <c r="B188" s="1">
        <v>186</v>
      </c>
      <c r="C188" s="1">
        <f t="shared" si="7"/>
        <v>183.45205479452056</v>
      </c>
      <c r="D188" s="1" t="s">
        <v>125</v>
      </c>
      <c r="E188" s="1">
        <f t="shared" si="9"/>
        <v>3.4520547945205635</v>
      </c>
      <c r="F188" s="55">
        <f>Table1[[#This Row],[Degrees Into Sign]]/30</f>
        <v>0.11506849315068544</v>
      </c>
    </row>
    <row r="189" spans="1:6" x14ac:dyDescent="0.25">
      <c r="A189" s="54">
        <v>43732</v>
      </c>
      <c r="B189" s="1">
        <v>187</v>
      </c>
      <c r="C189" s="1">
        <f t="shared" si="7"/>
        <v>184.43835616438355</v>
      </c>
      <c r="D189" s="1" t="s">
        <v>125</v>
      </c>
      <c r="E189" s="1">
        <f t="shared" si="9"/>
        <v>4.4383561643835492</v>
      </c>
      <c r="F189" s="55">
        <f>Table1[[#This Row],[Degrees Into Sign]]/30</f>
        <v>0.14794520547945164</v>
      </c>
    </row>
    <row r="190" spans="1:6" x14ac:dyDescent="0.25">
      <c r="A190" s="54">
        <v>43733</v>
      </c>
      <c r="B190" s="1">
        <v>188</v>
      </c>
      <c r="C190" s="1">
        <f t="shared" si="7"/>
        <v>185.42465753424656</v>
      </c>
      <c r="D190" s="1" t="s">
        <v>125</v>
      </c>
      <c r="E190" s="1">
        <f t="shared" si="9"/>
        <v>5.4246575342465633</v>
      </c>
      <c r="F190" s="55">
        <f>Table1[[#This Row],[Degrees Into Sign]]/30</f>
        <v>0.18082191780821877</v>
      </c>
    </row>
    <row r="191" spans="1:6" x14ac:dyDescent="0.25">
      <c r="A191" s="54">
        <v>43734</v>
      </c>
      <c r="B191" s="1">
        <v>189</v>
      </c>
      <c r="C191" s="1">
        <f t="shared" si="7"/>
        <v>186.41095890410958</v>
      </c>
      <c r="D191" s="1" t="s">
        <v>125</v>
      </c>
      <c r="E191" s="1">
        <f t="shared" si="9"/>
        <v>6.4109589041095774</v>
      </c>
      <c r="F191" s="55">
        <f>Table1[[#This Row],[Degrees Into Sign]]/30</f>
        <v>0.21369863013698592</v>
      </c>
    </row>
    <row r="192" spans="1:6" x14ac:dyDescent="0.25">
      <c r="A192" s="54">
        <v>43735</v>
      </c>
      <c r="B192" s="1">
        <v>190</v>
      </c>
      <c r="C192" s="1">
        <f t="shared" si="7"/>
        <v>187.39726027397259</v>
      </c>
      <c r="D192" s="1" t="s">
        <v>125</v>
      </c>
      <c r="E192" s="1">
        <f t="shared" si="9"/>
        <v>7.3972602739725914</v>
      </c>
      <c r="F192" s="55">
        <f>Table1[[#This Row],[Degrees Into Sign]]/30</f>
        <v>0.24657534246575305</v>
      </c>
    </row>
    <row r="193" spans="1:6" x14ac:dyDescent="0.25">
      <c r="A193" s="54">
        <v>43736</v>
      </c>
      <c r="B193" s="1">
        <v>191</v>
      </c>
      <c r="C193" s="1">
        <f t="shared" si="7"/>
        <v>188.38356164383561</v>
      </c>
      <c r="D193" s="1" t="s">
        <v>125</v>
      </c>
      <c r="E193" s="1">
        <f t="shared" si="9"/>
        <v>8.3835616438356055</v>
      </c>
      <c r="F193" s="55">
        <f>Table1[[#This Row],[Degrees Into Sign]]/30</f>
        <v>0.27945205479452018</v>
      </c>
    </row>
    <row r="194" spans="1:6" x14ac:dyDescent="0.25">
      <c r="A194" s="54">
        <v>43737</v>
      </c>
      <c r="B194" s="1">
        <v>192</v>
      </c>
      <c r="C194" s="1">
        <f t="shared" si="7"/>
        <v>189.36986301369862</v>
      </c>
      <c r="D194" s="1" t="s">
        <v>125</v>
      </c>
      <c r="E194" s="1">
        <f t="shared" si="9"/>
        <v>9.3698630136986196</v>
      </c>
      <c r="F194" s="55">
        <f>Table1[[#This Row],[Degrees Into Sign]]/30</f>
        <v>0.31232876712328733</v>
      </c>
    </row>
    <row r="195" spans="1:6" x14ac:dyDescent="0.25">
      <c r="A195" s="54">
        <v>43738</v>
      </c>
      <c r="B195" s="1">
        <v>193</v>
      </c>
      <c r="C195" s="1">
        <f t="shared" ref="C195:C258" si="10">B195/365*360</f>
        <v>190.35616438356166</v>
      </c>
      <c r="D195" s="1" t="s">
        <v>125</v>
      </c>
      <c r="E195" s="1">
        <f t="shared" si="9"/>
        <v>10.356164383561662</v>
      </c>
      <c r="F195" s="55">
        <f>Table1[[#This Row],[Degrees Into Sign]]/30</f>
        <v>0.34520547945205543</v>
      </c>
    </row>
    <row r="196" spans="1:6" x14ac:dyDescent="0.25">
      <c r="A196" s="54">
        <v>43739</v>
      </c>
      <c r="B196" s="1">
        <v>194</v>
      </c>
      <c r="C196" s="1">
        <f t="shared" si="10"/>
        <v>191.34246575342468</v>
      </c>
      <c r="D196" s="1" t="s">
        <v>125</v>
      </c>
      <c r="E196" s="1">
        <f t="shared" si="9"/>
        <v>11.342465753424676</v>
      </c>
      <c r="F196" s="55">
        <f>Table1[[#This Row],[Degrees Into Sign]]/30</f>
        <v>0.37808219178082253</v>
      </c>
    </row>
    <row r="197" spans="1:6" x14ac:dyDescent="0.25">
      <c r="A197" s="54">
        <v>43740</v>
      </c>
      <c r="B197" s="1">
        <v>195</v>
      </c>
      <c r="C197" s="1">
        <f t="shared" si="10"/>
        <v>192.32876712328769</v>
      </c>
      <c r="D197" s="1" t="s">
        <v>125</v>
      </c>
      <c r="E197" s="1">
        <f t="shared" si="9"/>
        <v>12.32876712328769</v>
      </c>
      <c r="F197" s="55">
        <f>Table1[[#This Row],[Degrees Into Sign]]/30</f>
        <v>0.41095890410958968</v>
      </c>
    </row>
    <row r="198" spans="1:6" x14ac:dyDescent="0.25">
      <c r="A198" s="54">
        <v>43741</v>
      </c>
      <c r="B198" s="1">
        <v>196</v>
      </c>
      <c r="C198" s="1">
        <f t="shared" si="10"/>
        <v>193.3150684931507</v>
      </c>
      <c r="D198" s="1" t="s">
        <v>125</v>
      </c>
      <c r="E198" s="1">
        <f t="shared" si="9"/>
        <v>13.315068493150704</v>
      </c>
      <c r="F198" s="55">
        <f>Table1[[#This Row],[Degrees Into Sign]]/30</f>
        <v>0.44383561643835684</v>
      </c>
    </row>
    <row r="199" spans="1:6" x14ac:dyDescent="0.25">
      <c r="A199" s="54">
        <v>43742</v>
      </c>
      <c r="B199" s="1">
        <v>197</v>
      </c>
      <c r="C199" s="1">
        <f t="shared" si="10"/>
        <v>194.30136986301369</v>
      </c>
      <c r="D199" s="1" t="s">
        <v>125</v>
      </c>
      <c r="E199" s="1">
        <f t="shared" si="9"/>
        <v>14.30136986301369</v>
      </c>
      <c r="F199" s="55">
        <f>Table1[[#This Row],[Degrees Into Sign]]/30</f>
        <v>0.47671232876712299</v>
      </c>
    </row>
    <row r="200" spans="1:6" x14ac:dyDescent="0.25">
      <c r="A200" s="54">
        <v>43743</v>
      </c>
      <c r="B200" s="1">
        <v>198</v>
      </c>
      <c r="C200" s="1">
        <f t="shared" si="10"/>
        <v>195.2876712328767</v>
      </c>
      <c r="D200" s="1" t="s">
        <v>125</v>
      </c>
      <c r="E200" s="1">
        <f t="shared" si="9"/>
        <v>15.287671232876704</v>
      </c>
      <c r="F200" s="55">
        <f>Table1[[#This Row],[Degrees Into Sign]]/30</f>
        <v>0.50958904109589009</v>
      </c>
    </row>
    <row r="201" spans="1:6" x14ac:dyDescent="0.25">
      <c r="A201" s="54">
        <v>43744</v>
      </c>
      <c r="B201" s="1">
        <v>199</v>
      </c>
      <c r="C201" s="1">
        <f t="shared" si="10"/>
        <v>196.27397260273972</v>
      </c>
      <c r="D201" s="1" t="s">
        <v>125</v>
      </c>
      <c r="E201" s="1">
        <f t="shared" si="9"/>
        <v>16.273972602739718</v>
      </c>
      <c r="F201" s="55">
        <f>Table1[[#This Row],[Degrees Into Sign]]/30</f>
        <v>0.5424657534246573</v>
      </c>
    </row>
    <row r="202" spans="1:6" x14ac:dyDescent="0.25">
      <c r="A202" s="54">
        <v>43745</v>
      </c>
      <c r="B202" s="1">
        <v>200</v>
      </c>
      <c r="C202" s="1">
        <f t="shared" si="10"/>
        <v>197.26027397260273</v>
      </c>
      <c r="D202" s="1" t="s">
        <v>125</v>
      </c>
      <c r="E202" s="1">
        <f t="shared" si="9"/>
        <v>17.260273972602732</v>
      </c>
      <c r="F202" s="55">
        <f>Table1[[#This Row],[Degrees Into Sign]]/30</f>
        <v>0.5753424657534244</v>
      </c>
    </row>
    <row r="203" spans="1:6" x14ac:dyDescent="0.25">
      <c r="A203" s="54">
        <v>43746</v>
      </c>
      <c r="B203" s="1">
        <v>201</v>
      </c>
      <c r="C203" s="1">
        <f t="shared" si="10"/>
        <v>198.24657534246575</v>
      </c>
      <c r="D203" s="1" t="s">
        <v>125</v>
      </c>
      <c r="E203" s="1">
        <f t="shared" si="9"/>
        <v>18.246575342465746</v>
      </c>
      <c r="F203" s="55">
        <f>Table1[[#This Row],[Degrees Into Sign]]/30</f>
        <v>0.6082191780821915</v>
      </c>
    </row>
    <row r="204" spans="1:6" x14ac:dyDescent="0.25">
      <c r="A204" s="54">
        <v>43747</v>
      </c>
      <c r="B204" s="1">
        <v>202</v>
      </c>
      <c r="C204" s="1">
        <f t="shared" si="10"/>
        <v>199.23287671232876</v>
      </c>
      <c r="D204" s="1" t="s">
        <v>125</v>
      </c>
      <c r="E204" s="1">
        <f t="shared" si="9"/>
        <v>19.232876712328761</v>
      </c>
      <c r="F204" s="55">
        <f>Table1[[#This Row],[Degrees Into Sign]]/30</f>
        <v>0.64109589041095871</v>
      </c>
    </row>
    <row r="205" spans="1:6" x14ac:dyDescent="0.25">
      <c r="A205" s="54">
        <v>43748</v>
      </c>
      <c r="B205" s="1">
        <v>203</v>
      </c>
      <c r="C205" s="1">
        <f t="shared" si="10"/>
        <v>200.2191780821918</v>
      </c>
      <c r="D205" s="1" t="s">
        <v>125</v>
      </c>
      <c r="E205" s="1">
        <f t="shared" si="9"/>
        <v>20.219178082191803</v>
      </c>
      <c r="F205" s="55">
        <f>Table1[[#This Row],[Degrees Into Sign]]/30</f>
        <v>0.67397260273972681</v>
      </c>
    </row>
    <row r="206" spans="1:6" x14ac:dyDescent="0.25">
      <c r="A206" s="54">
        <v>43749</v>
      </c>
      <c r="B206" s="1">
        <v>204</v>
      </c>
      <c r="C206" s="1">
        <f t="shared" si="10"/>
        <v>201.20547945205482</v>
      </c>
      <c r="D206" s="1" t="s">
        <v>125</v>
      </c>
      <c r="E206" s="1">
        <f t="shared" si="9"/>
        <v>21.205479452054817</v>
      </c>
      <c r="F206" s="55">
        <f>Table1[[#This Row],[Degrees Into Sign]]/30</f>
        <v>0.70684931506849391</v>
      </c>
    </row>
    <row r="207" spans="1:6" x14ac:dyDescent="0.25">
      <c r="A207" s="54">
        <v>43750</v>
      </c>
      <c r="B207" s="1">
        <v>205</v>
      </c>
      <c r="C207" s="1">
        <f t="shared" si="10"/>
        <v>202.1917808219178</v>
      </c>
      <c r="D207" s="1" t="s">
        <v>125</v>
      </c>
      <c r="E207" s="1">
        <f t="shared" si="9"/>
        <v>22.191780821917803</v>
      </c>
      <c r="F207" s="55">
        <f>Table1[[#This Row],[Degrees Into Sign]]/30</f>
        <v>0.73972602739726012</v>
      </c>
    </row>
    <row r="208" spans="1:6" x14ac:dyDescent="0.25">
      <c r="A208" s="54">
        <v>43751</v>
      </c>
      <c r="B208" s="1">
        <v>206</v>
      </c>
      <c r="C208" s="1">
        <f t="shared" si="10"/>
        <v>203.17808219178082</v>
      </c>
      <c r="D208" s="1" t="s">
        <v>125</v>
      </c>
      <c r="E208" s="1">
        <f t="shared" si="9"/>
        <v>23.178082191780817</v>
      </c>
      <c r="F208" s="55">
        <f>Table1[[#This Row],[Degrees Into Sign]]/30</f>
        <v>0.77260273972602722</v>
      </c>
    </row>
    <row r="209" spans="1:6" x14ac:dyDescent="0.25">
      <c r="A209" s="54">
        <v>43752</v>
      </c>
      <c r="B209" s="1">
        <v>207</v>
      </c>
      <c r="C209" s="1">
        <f t="shared" si="10"/>
        <v>204.16438356164383</v>
      </c>
      <c r="D209" s="1" t="s">
        <v>125</v>
      </c>
      <c r="E209" s="1">
        <f t="shared" si="9"/>
        <v>24.164383561643831</v>
      </c>
      <c r="F209" s="55">
        <f>Table1[[#This Row],[Degrees Into Sign]]/30</f>
        <v>0.80547945205479432</v>
      </c>
    </row>
    <row r="210" spans="1:6" x14ac:dyDescent="0.25">
      <c r="A210" s="54">
        <v>43753</v>
      </c>
      <c r="B210" s="1">
        <v>208</v>
      </c>
      <c r="C210" s="1">
        <f t="shared" si="10"/>
        <v>205.15068493150685</v>
      </c>
      <c r="D210" s="1" t="s">
        <v>125</v>
      </c>
      <c r="E210" s="1">
        <f t="shared" si="9"/>
        <v>25.150684931506845</v>
      </c>
      <c r="F210" s="55">
        <f>Table1[[#This Row],[Degrees Into Sign]]/30</f>
        <v>0.83835616438356153</v>
      </c>
    </row>
    <row r="211" spans="1:6" x14ac:dyDescent="0.25">
      <c r="A211" s="54">
        <v>43754</v>
      </c>
      <c r="B211" s="1">
        <v>209</v>
      </c>
      <c r="C211" s="1">
        <f t="shared" si="10"/>
        <v>206.13698630136986</v>
      </c>
      <c r="D211" s="1" t="s">
        <v>125</v>
      </c>
      <c r="E211" s="1">
        <f t="shared" si="9"/>
        <v>26.136986301369859</v>
      </c>
      <c r="F211" s="55">
        <f>Table1[[#This Row],[Degrees Into Sign]]/30</f>
        <v>0.87123287671232863</v>
      </c>
    </row>
    <row r="212" spans="1:6" x14ac:dyDescent="0.25">
      <c r="A212" s="54">
        <v>43755</v>
      </c>
      <c r="B212" s="1">
        <v>210</v>
      </c>
      <c r="C212" s="1">
        <f t="shared" si="10"/>
        <v>207.12328767123287</v>
      </c>
      <c r="D212" s="1" t="s">
        <v>125</v>
      </c>
      <c r="E212" s="1">
        <f t="shared" si="9"/>
        <v>27.123287671232873</v>
      </c>
      <c r="F212" s="55">
        <f>Table1[[#This Row],[Degrees Into Sign]]/30</f>
        <v>0.90410958904109573</v>
      </c>
    </row>
    <row r="213" spans="1:6" x14ac:dyDescent="0.25">
      <c r="A213" s="54">
        <v>43756</v>
      </c>
      <c r="B213" s="1">
        <v>211</v>
      </c>
      <c r="C213" s="1">
        <f t="shared" si="10"/>
        <v>208.10958904109589</v>
      </c>
      <c r="D213" s="1" t="s">
        <v>125</v>
      </c>
      <c r="E213" s="1">
        <f t="shared" si="9"/>
        <v>28.109589041095887</v>
      </c>
      <c r="F213" s="55">
        <f>Table1[[#This Row],[Degrees Into Sign]]/30</f>
        <v>0.93698630136986294</v>
      </c>
    </row>
    <row r="214" spans="1:6" x14ac:dyDescent="0.25">
      <c r="A214" s="54">
        <v>43757</v>
      </c>
      <c r="B214" s="1">
        <v>212</v>
      </c>
      <c r="C214" s="1">
        <f t="shared" si="10"/>
        <v>209.09589041095887</v>
      </c>
      <c r="D214" s="1" t="s">
        <v>125</v>
      </c>
      <c r="E214" s="1">
        <f t="shared" si="9"/>
        <v>29.095890410958873</v>
      </c>
      <c r="F214" s="55">
        <f>Table1[[#This Row],[Degrees Into Sign]]/30</f>
        <v>0.96986301369862915</v>
      </c>
    </row>
    <row r="215" spans="1:6" x14ac:dyDescent="0.25">
      <c r="A215" s="54">
        <v>43758</v>
      </c>
      <c r="B215" s="1">
        <v>213</v>
      </c>
      <c r="C215" s="1">
        <f t="shared" si="10"/>
        <v>210.08219178082194</v>
      </c>
      <c r="D215" s="1" t="s">
        <v>160</v>
      </c>
      <c r="E215" s="1">
        <f>C215-210</f>
        <v>8.2191780821943894E-2</v>
      </c>
      <c r="F215" s="55">
        <f>Table1[[#This Row],[Degrees Into Sign]]/30</f>
        <v>2.7397260273981298E-3</v>
      </c>
    </row>
    <row r="216" spans="1:6" x14ac:dyDescent="0.25">
      <c r="A216" s="54">
        <v>43759</v>
      </c>
      <c r="B216" s="1">
        <v>214</v>
      </c>
      <c r="C216" s="1">
        <f t="shared" si="10"/>
        <v>211.06849315068496</v>
      </c>
      <c r="D216" s="1" t="s">
        <v>160</v>
      </c>
      <c r="E216" s="1">
        <f t="shared" ref="E216:E245" si="11">C216-210</f>
        <v>1.068493150684958</v>
      </c>
      <c r="F216" s="55">
        <f>Table1[[#This Row],[Degrees Into Sign]]/30</f>
        <v>3.5616438356165264E-2</v>
      </c>
    </row>
    <row r="217" spans="1:6" x14ac:dyDescent="0.25">
      <c r="A217" s="54">
        <v>43760</v>
      </c>
      <c r="B217" s="1">
        <v>215</v>
      </c>
      <c r="C217" s="1">
        <f t="shared" si="10"/>
        <v>212.05479452054794</v>
      </c>
      <c r="D217" s="1" t="s">
        <v>160</v>
      </c>
      <c r="E217" s="1">
        <f t="shared" si="11"/>
        <v>2.0547945205479436</v>
      </c>
      <c r="F217" s="55">
        <f>Table1[[#This Row],[Degrees Into Sign]]/30</f>
        <v>6.8493150684931461E-2</v>
      </c>
    </row>
    <row r="218" spans="1:6" x14ac:dyDescent="0.25">
      <c r="A218" s="54">
        <v>43761</v>
      </c>
      <c r="B218" s="1">
        <v>216</v>
      </c>
      <c r="C218" s="1">
        <f t="shared" si="10"/>
        <v>213.04109589041096</v>
      </c>
      <c r="D218" s="1" t="s">
        <v>160</v>
      </c>
      <c r="E218" s="1">
        <f t="shared" si="11"/>
        <v>3.0410958904109577</v>
      </c>
      <c r="F218" s="55">
        <f>Table1[[#This Row],[Degrees Into Sign]]/30</f>
        <v>0.10136986301369859</v>
      </c>
    </row>
    <row r="219" spans="1:6" x14ac:dyDescent="0.25">
      <c r="A219" s="54">
        <v>43762</v>
      </c>
      <c r="B219" s="1">
        <v>217</v>
      </c>
      <c r="C219" s="1">
        <f t="shared" si="10"/>
        <v>214.02739726027397</v>
      </c>
      <c r="D219" s="1" t="s">
        <v>160</v>
      </c>
      <c r="E219" s="1">
        <f t="shared" si="11"/>
        <v>4.0273972602739718</v>
      </c>
      <c r="F219" s="55">
        <f>Table1[[#This Row],[Degrees Into Sign]]/30</f>
        <v>0.13424657534246573</v>
      </c>
    </row>
    <row r="220" spans="1:6" x14ac:dyDescent="0.25">
      <c r="A220" s="54">
        <v>43763</v>
      </c>
      <c r="B220" s="1">
        <v>218</v>
      </c>
      <c r="C220" s="1">
        <f t="shared" si="10"/>
        <v>215.01369863013699</v>
      </c>
      <c r="D220" s="1" t="s">
        <v>160</v>
      </c>
      <c r="E220" s="1">
        <f t="shared" si="11"/>
        <v>5.0136986301369859</v>
      </c>
      <c r="F220" s="55">
        <f>Table1[[#This Row],[Degrees Into Sign]]/30</f>
        <v>0.16712328767123286</v>
      </c>
    </row>
    <row r="221" spans="1:6" x14ac:dyDescent="0.25">
      <c r="A221" s="54">
        <v>43764</v>
      </c>
      <c r="B221" s="1">
        <v>219</v>
      </c>
      <c r="C221" s="1">
        <f t="shared" si="10"/>
        <v>216</v>
      </c>
      <c r="D221" s="1" t="s">
        <v>160</v>
      </c>
      <c r="E221" s="1">
        <f t="shared" si="11"/>
        <v>6</v>
      </c>
      <c r="F221" s="55">
        <f>Table1[[#This Row],[Degrees Into Sign]]/30</f>
        <v>0.2</v>
      </c>
    </row>
    <row r="222" spans="1:6" x14ac:dyDescent="0.25">
      <c r="A222" s="54">
        <v>43765</v>
      </c>
      <c r="B222" s="1">
        <v>220</v>
      </c>
      <c r="C222" s="1">
        <f t="shared" si="10"/>
        <v>216.98630136986301</v>
      </c>
      <c r="D222" s="1" t="s">
        <v>160</v>
      </c>
      <c r="E222" s="1">
        <f t="shared" si="11"/>
        <v>6.9863013698630141</v>
      </c>
      <c r="F222" s="55">
        <f>Table1[[#This Row],[Degrees Into Sign]]/30</f>
        <v>0.23287671232876714</v>
      </c>
    </row>
    <row r="223" spans="1:6" x14ac:dyDescent="0.25">
      <c r="A223" s="54">
        <v>43766</v>
      </c>
      <c r="B223" s="1">
        <v>221</v>
      </c>
      <c r="C223" s="1">
        <f t="shared" si="10"/>
        <v>217.972602739726</v>
      </c>
      <c r="D223" s="1" t="s">
        <v>160</v>
      </c>
      <c r="E223" s="1">
        <f t="shared" si="11"/>
        <v>7.9726027397259998</v>
      </c>
      <c r="F223" s="55">
        <f>Table1[[#This Row],[Degrees Into Sign]]/30</f>
        <v>0.26575342465753332</v>
      </c>
    </row>
    <row r="224" spans="1:6" x14ac:dyDescent="0.25">
      <c r="A224" s="54">
        <v>43767</v>
      </c>
      <c r="B224" s="1">
        <v>222</v>
      </c>
      <c r="C224" s="1">
        <f t="shared" si="10"/>
        <v>218.95890410958907</v>
      </c>
      <c r="D224" s="1" t="s">
        <v>160</v>
      </c>
      <c r="E224" s="1">
        <f t="shared" si="11"/>
        <v>8.9589041095890707</v>
      </c>
      <c r="F224" s="55">
        <f>Table1[[#This Row],[Degrees Into Sign]]/30</f>
        <v>0.29863013698630236</v>
      </c>
    </row>
    <row r="225" spans="1:6" x14ac:dyDescent="0.25">
      <c r="A225" s="54">
        <v>43768</v>
      </c>
      <c r="B225" s="1">
        <v>223</v>
      </c>
      <c r="C225" s="1">
        <f t="shared" si="10"/>
        <v>219.94520547945206</v>
      </c>
      <c r="D225" s="1" t="s">
        <v>160</v>
      </c>
      <c r="E225" s="1">
        <f t="shared" si="11"/>
        <v>9.9452054794520564</v>
      </c>
      <c r="F225" s="55">
        <f>Table1[[#This Row],[Degrees Into Sign]]/30</f>
        <v>0.33150684931506852</v>
      </c>
    </row>
    <row r="226" spans="1:6" x14ac:dyDescent="0.25">
      <c r="A226" s="54">
        <v>43769</v>
      </c>
      <c r="B226" s="1">
        <v>224</v>
      </c>
      <c r="C226" s="1">
        <f t="shared" si="10"/>
        <v>220.93150684931507</v>
      </c>
      <c r="D226" s="1" t="s">
        <v>160</v>
      </c>
      <c r="E226" s="1">
        <f t="shared" si="11"/>
        <v>10.93150684931507</v>
      </c>
      <c r="F226" s="55">
        <f>Table1[[#This Row],[Degrees Into Sign]]/30</f>
        <v>0.36438356164383567</v>
      </c>
    </row>
    <row r="227" spans="1:6" x14ac:dyDescent="0.25">
      <c r="A227" s="54">
        <v>43770</v>
      </c>
      <c r="B227" s="1">
        <v>225</v>
      </c>
      <c r="C227" s="1">
        <f t="shared" si="10"/>
        <v>221.91780821917808</v>
      </c>
      <c r="D227" s="1" t="s">
        <v>160</v>
      </c>
      <c r="E227" s="1">
        <f t="shared" si="11"/>
        <v>11.917808219178085</v>
      </c>
      <c r="F227" s="55">
        <f>Table1[[#This Row],[Degrees Into Sign]]/30</f>
        <v>0.39726027397260283</v>
      </c>
    </row>
    <row r="228" spans="1:6" x14ac:dyDescent="0.25">
      <c r="A228" s="54">
        <v>43771</v>
      </c>
      <c r="B228" s="1">
        <v>226</v>
      </c>
      <c r="C228" s="1">
        <f t="shared" si="10"/>
        <v>222.9041095890411</v>
      </c>
      <c r="D228" s="1" t="s">
        <v>160</v>
      </c>
      <c r="E228" s="1">
        <f t="shared" si="11"/>
        <v>12.904109589041099</v>
      </c>
      <c r="F228" s="55">
        <f>Table1[[#This Row],[Degrees Into Sign]]/30</f>
        <v>0.43013698630136993</v>
      </c>
    </row>
    <row r="229" spans="1:6" x14ac:dyDescent="0.25">
      <c r="A229" s="54">
        <v>43772</v>
      </c>
      <c r="B229" s="1">
        <v>227</v>
      </c>
      <c r="C229" s="1">
        <f t="shared" si="10"/>
        <v>223.89041095890411</v>
      </c>
      <c r="D229" s="1" t="s">
        <v>160</v>
      </c>
      <c r="E229" s="1">
        <f t="shared" si="11"/>
        <v>13.890410958904113</v>
      </c>
      <c r="F229" s="55">
        <f>Table1[[#This Row],[Degrees Into Sign]]/30</f>
        <v>0.46301369863013708</v>
      </c>
    </row>
    <row r="230" spans="1:6" x14ac:dyDescent="0.25">
      <c r="A230" s="54">
        <v>43773</v>
      </c>
      <c r="B230" s="1">
        <v>228</v>
      </c>
      <c r="C230" s="1">
        <f t="shared" si="10"/>
        <v>224.87671232876713</v>
      </c>
      <c r="D230" s="1" t="s">
        <v>160</v>
      </c>
      <c r="E230" s="1">
        <f t="shared" si="11"/>
        <v>14.876712328767127</v>
      </c>
      <c r="F230" s="55">
        <f>Table1[[#This Row],[Degrees Into Sign]]/30</f>
        <v>0.49589041095890424</v>
      </c>
    </row>
    <row r="231" spans="1:6" x14ac:dyDescent="0.25">
      <c r="A231" s="54">
        <v>43774</v>
      </c>
      <c r="B231" s="1">
        <v>229</v>
      </c>
      <c r="C231" s="1">
        <f t="shared" si="10"/>
        <v>225.86301369863014</v>
      </c>
      <c r="D231" s="1" t="s">
        <v>160</v>
      </c>
      <c r="E231" s="1">
        <f t="shared" si="11"/>
        <v>15.863013698630141</v>
      </c>
      <c r="F231" s="55">
        <f>Table1[[#This Row],[Degrees Into Sign]]/30</f>
        <v>0.52876712328767139</v>
      </c>
    </row>
    <row r="232" spans="1:6" x14ac:dyDescent="0.25">
      <c r="A232" s="54">
        <v>43775</v>
      </c>
      <c r="B232" s="1">
        <v>230</v>
      </c>
      <c r="C232" s="1">
        <f t="shared" si="10"/>
        <v>226.84931506849313</v>
      </c>
      <c r="D232" s="1" t="s">
        <v>160</v>
      </c>
      <c r="E232" s="1">
        <f t="shared" si="11"/>
        <v>16.849315068493127</v>
      </c>
      <c r="F232" s="55">
        <f>Table1[[#This Row],[Degrees Into Sign]]/30</f>
        <v>0.5616438356164376</v>
      </c>
    </row>
    <row r="233" spans="1:6" x14ac:dyDescent="0.25">
      <c r="A233" s="54">
        <v>43776</v>
      </c>
      <c r="B233" s="1">
        <v>231</v>
      </c>
      <c r="C233" s="1">
        <f t="shared" si="10"/>
        <v>227.83561643835614</v>
      </c>
      <c r="D233" s="1" t="s">
        <v>160</v>
      </c>
      <c r="E233" s="1">
        <f t="shared" si="11"/>
        <v>17.835616438356141</v>
      </c>
      <c r="F233" s="55">
        <f>Table1[[#This Row],[Degrees Into Sign]]/30</f>
        <v>0.5945205479452047</v>
      </c>
    </row>
    <row r="234" spans="1:6" x14ac:dyDescent="0.25">
      <c r="A234" s="54">
        <v>43777</v>
      </c>
      <c r="B234" s="1">
        <v>232</v>
      </c>
      <c r="C234" s="1">
        <f t="shared" si="10"/>
        <v>228.82191780821921</v>
      </c>
      <c r="D234" s="1" t="s">
        <v>160</v>
      </c>
      <c r="E234" s="1">
        <f t="shared" si="11"/>
        <v>18.821917808219212</v>
      </c>
      <c r="F234" s="55">
        <f>Table1[[#This Row],[Degrees Into Sign]]/30</f>
        <v>0.62739726027397369</v>
      </c>
    </row>
    <row r="235" spans="1:6" x14ac:dyDescent="0.25">
      <c r="A235" s="54">
        <v>43778</v>
      </c>
      <c r="B235" s="1">
        <v>233</v>
      </c>
      <c r="C235" s="1">
        <f t="shared" si="10"/>
        <v>229.8082191780822</v>
      </c>
      <c r="D235" s="1" t="s">
        <v>160</v>
      </c>
      <c r="E235" s="1">
        <f t="shared" si="11"/>
        <v>19.808219178082197</v>
      </c>
      <c r="F235" s="55">
        <f>Table1[[#This Row],[Degrees Into Sign]]/30</f>
        <v>0.6602739726027399</v>
      </c>
    </row>
    <row r="236" spans="1:6" x14ac:dyDescent="0.25">
      <c r="A236" s="54">
        <v>43779</v>
      </c>
      <c r="B236" s="1">
        <v>234</v>
      </c>
      <c r="C236" s="1">
        <f t="shared" si="10"/>
        <v>230.79452054794521</v>
      </c>
      <c r="D236" s="1" t="s">
        <v>160</v>
      </c>
      <c r="E236" s="1">
        <f t="shared" si="11"/>
        <v>20.794520547945211</v>
      </c>
      <c r="F236" s="55">
        <f>Table1[[#This Row],[Degrees Into Sign]]/30</f>
        <v>0.693150684931507</v>
      </c>
    </row>
    <row r="237" spans="1:6" x14ac:dyDescent="0.25">
      <c r="A237" s="54">
        <v>43780</v>
      </c>
      <c r="B237" s="1">
        <v>235</v>
      </c>
      <c r="C237" s="1">
        <f t="shared" si="10"/>
        <v>231.78082191780823</v>
      </c>
      <c r="D237" s="1" t="s">
        <v>160</v>
      </c>
      <c r="E237" s="1">
        <f t="shared" si="11"/>
        <v>21.780821917808225</v>
      </c>
      <c r="F237" s="55">
        <f>Table1[[#This Row],[Degrees Into Sign]]/30</f>
        <v>0.72602739726027421</v>
      </c>
    </row>
    <row r="238" spans="1:6" x14ac:dyDescent="0.25">
      <c r="A238" s="54">
        <v>43781</v>
      </c>
      <c r="B238" s="1">
        <v>236</v>
      </c>
      <c r="C238" s="1">
        <f t="shared" si="10"/>
        <v>232.76712328767124</v>
      </c>
      <c r="D238" s="1" t="s">
        <v>160</v>
      </c>
      <c r="E238" s="1">
        <f t="shared" si="11"/>
        <v>22.767123287671239</v>
      </c>
      <c r="F238" s="55">
        <f>Table1[[#This Row],[Degrees Into Sign]]/30</f>
        <v>0.75890410958904131</v>
      </c>
    </row>
    <row r="239" spans="1:6" x14ac:dyDescent="0.25">
      <c r="A239" s="54">
        <v>43782</v>
      </c>
      <c r="B239" s="1">
        <v>237</v>
      </c>
      <c r="C239" s="1">
        <f t="shared" si="10"/>
        <v>233.75342465753425</v>
      </c>
      <c r="D239" s="1" t="s">
        <v>160</v>
      </c>
      <c r="E239" s="1">
        <f t="shared" si="11"/>
        <v>23.753424657534254</v>
      </c>
      <c r="F239" s="55">
        <f>Table1[[#This Row],[Degrees Into Sign]]/30</f>
        <v>0.79178082191780841</v>
      </c>
    </row>
    <row r="240" spans="1:6" x14ac:dyDescent="0.25">
      <c r="A240" s="54">
        <v>43783</v>
      </c>
      <c r="B240" s="1">
        <v>238</v>
      </c>
      <c r="C240" s="1">
        <f t="shared" si="10"/>
        <v>234.73972602739727</v>
      </c>
      <c r="D240" s="1" t="s">
        <v>160</v>
      </c>
      <c r="E240" s="1">
        <f t="shared" si="11"/>
        <v>24.739726027397268</v>
      </c>
      <c r="F240" s="55">
        <f>Table1[[#This Row],[Degrees Into Sign]]/30</f>
        <v>0.82465753424657562</v>
      </c>
    </row>
    <row r="241" spans="1:6" x14ac:dyDescent="0.25">
      <c r="A241" s="54">
        <v>43784</v>
      </c>
      <c r="B241" s="1">
        <v>239</v>
      </c>
      <c r="C241" s="1">
        <f t="shared" si="10"/>
        <v>235.72602739726025</v>
      </c>
      <c r="D241" s="1" t="s">
        <v>160</v>
      </c>
      <c r="E241" s="1">
        <f t="shared" si="11"/>
        <v>25.726027397260253</v>
      </c>
      <c r="F241" s="55">
        <f>Table1[[#This Row],[Degrees Into Sign]]/30</f>
        <v>0.85753424657534183</v>
      </c>
    </row>
    <row r="242" spans="1:6" x14ac:dyDescent="0.25">
      <c r="A242" s="54">
        <v>43785</v>
      </c>
      <c r="B242" s="1">
        <v>240</v>
      </c>
      <c r="C242" s="1">
        <f t="shared" si="10"/>
        <v>236.71232876712327</v>
      </c>
      <c r="D242" s="1" t="s">
        <v>160</v>
      </c>
      <c r="E242" s="1">
        <f t="shared" si="11"/>
        <v>26.712328767123267</v>
      </c>
      <c r="F242" s="55">
        <f>Table1[[#This Row],[Degrees Into Sign]]/30</f>
        <v>0.89041095890410893</v>
      </c>
    </row>
    <row r="243" spans="1:6" x14ac:dyDescent="0.25">
      <c r="A243" s="54">
        <v>43786</v>
      </c>
      <c r="B243" s="1">
        <v>241</v>
      </c>
      <c r="C243" s="1">
        <f t="shared" si="10"/>
        <v>237.69863013698628</v>
      </c>
      <c r="D243" s="1" t="s">
        <v>160</v>
      </c>
      <c r="E243" s="1">
        <f t="shared" si="11"/>
        <v>27.698630136986282</v>
      </c>
      <c r="F243" s="55">
        <f>Table1[[#This Row],[Degrees Into Sign]]/30</f>
        <v>0.92328767123287603</v>
      </c>
    </row>
    <row r="244" spans="1:6" x14ac:dyDescent="0.25">
      <c r="A244" s="54">
        <v>43787</v>
      </c>
      <c r="B244" s="1">
        <v>242</v>
      </c>
      <c r="C244" s="1">
        <f t="shared" si="10"/>
        <v>238.68493150684932</v>
      </c>
      <c r="D244" s="1" t="s">
        <v>160</v>
      </c>
      <c r="E244" s="1">
        <f t="shared" si="11"/>
        <v>28.684931506849324</v>
      </c>
      <c r="F244" s="55">
        <f>Table1[[#This Row],[Degrees Into Sign]]/30</f>
        <v>0.95616438356164413</v>
      </c>
    </row>
    <row r="245" spans="1:6" x14ac:dyDescent="0.25">
      <c r="A245" s="54">
        <v>43788</v>
      </c>
      <c r="B245" s="1">
        <v>243</v>
      </c>
      <c r="C245" s="1">
        <f t="shared" si="10"/>
        <v>239.67123287671234</v>
      </c>
      <c r="D245" s="1" t="s">
        <v>160</v>
      </c>
      <c r="E245" s="1">
        <f t="shared" si="11"/>
        <v>29.671232876712338</v>
      </c>
      <c r="F245" s="55">
        <f>Table1[[#This Row],[Degrees Into Sign]]/30</f>
        <v>0.98904109589041123</v>
      </c>
    </row>
    <row r="246" spans="1:6" x14ac:dyDescent="0.25">
      <c r="A246" s="54">
        <v>43789</v>
      </c>
      <c r="B246" s="1">
        <v>244</v>
      </c>
      <c r="C246" s="1">
        <f t="shared" si="10"/>
        <v>240.65753424657535</v>
      </c>
      <c r="D246" s="1" t="s">
        <v>127</v>
      </c>
      <c r="E246" s="1">
        <f>C246-240</f>
        <v>0.6575342465753522</v>
      </c>
      <c r="F246" s="55">
        <f>Table1[[#This Row],[Degrees Into Sign]]/30</f>
        <v>2.1917808219178405E-2</v>
      </c>
    </row>
    <row r="247" spans="1:6" x14ac:dyDescent="0.25">
      <c r="A247" s="54">
        <v>43790</v>
      </c>
      <c r="B247" s="1">
        <v>245</v>
      </c>
      <c r="C247" s="1">
        <f t="shared" si="10"/>
        <v>241.64383561643837</v>
      </c>
      <c r="D247" s="1" t="s">
        <v>127</v>
      </c>
      <c r="E247" s="1">
        <f t="shared" ref="E247:E275" si="12">C247-240</f>
        <v>1.6438356164383663</v>
      </c>
      <c r="F247" s="55">
        <f>Table1[[#This Row],[Degrees Into Sign]]/30</f>
        <v>5.4794520547945542E-2</v>
      </c>
    </row>
    <row r="248" spans="1:6" x14ac:dyDescent="0.25">
      <c r="A248" s="54">
        <v>43791</v>
      </c>
      <c r="B248" s="1">
        <v>246</v>
      </c>
      <c r="C248" s="1">
        <f t="shared" si="10"/>
        <v>242.63013698630138</v>
      </c>
      <c r="D248" s="1" t="s">
        <v>127</v>
      </c>
      <c r="E248" s="1">
        <f t="shared" si="12"/>
        <v>2.6301369863013804</v>
      </c>
      <c r="F248" s="55">
        <f>Table1[[#This Row],[Degrees Into Sign]]/30</f>
        <v>8.7671232876712676E-2</v>
      </c>
    </row>
    <row r="249" spans="1:6" x14ac:dyDescent="0.25">
      <c r="A249" s="54">
        <v>43792</v>
      </c>
      <c r="B249" s="1">
        <v>247</v>
      </c>
      <c r="C249" s="1">
        <f t="shared" si="10"/>
        <v>243.61643835616439</v>
      </c>
      <c r="D249" s="1" t="s">
        <v>127</v>
      </c>
      <c r="E249" s="1">
        <f t="shared" si="12"/>
        <v>3.6164383561643945</v>
      </c>
      <c r="F249" s="55">
        <f>Table1[[#This Row],[Degrees Into Sign]]/30</f>
        <v>0.12054794520547982</v>
      </c>
    </row>
    <row r="250" spans="1:6" x14ac:dyDescent="0.25">
      <c r="A250" s="54">
        <v>43793</v>
      </c>
      <c r="B250" s="1">
        <v>248</v>
      </c>
      <c r="C250" s="1">
        <f t="shared" si="10"/>
        <v>244.60273972602738</v>
      </c>
      <c r="D250" s="1" t="s">
        <v>127</v>
      </c>
      <c r="E250" s="1">
        <f t="shared" si="12"/>
        <v>4.6027397260273801</v>
      </c>
      <c r="F250" s="55">
        <f>Table1[[#This Row],[Degrees Into Sign]]/30</f>
        <v>0.153424657534246</v>
      </c>
    </row>
    <row r="251" spans="1:6" x14ac:dyDescent="0.25">
      <c r="A251" s="54">
        <v>43794</v>
      </c>
      <c r="B251" s="1">
        <v>249</v>
      </c>
      <c r="C251" s="1">
        <f t="shared" si="10"/>
        <v>245.58904109589039</v>
      </c>
      <c r="D251" s="1" t="s">
        <v>127</v>
      </c>
      <c r="E251" s="1">
        <f t="shared" si="12"/>
        <v>5.5890410958903942</v>
      </c>
      <c r="F251" s="55">
        <f>Table1[[#This Row],[Degrees Into Sign]]/30</f>
        <v>0.18630136986301313</v>
      </c>
    </row>
    <row r="252" spans="1:6" x14ac:dyDescent="0.25">
      <c r="A252" s="54">
        <v>43795</v>
      </c>
      <c r="B252" s="1">
        <v>250</v>
      </c>
      <c r="C252" s="1">
        <f t="shared" si="10"/>
        <v>246.57534246575341</v>
      </c>
      <c r="D252" s="1" t="s">
        <v>127</v>
      </c>
      <c r="E252" s="1">
        <f t="shared" si="12"/>
        <v>6.5753424657534083</v>
      </c>
      <c r="F252" s="55">
        <f>Table1[[#This Row],[Degrees Into Sign]]/30</f>
        <v>0.21917808219178028</v>
      </c>
    </row>
    <row r="253" spans="1:6" x14ac:dyDescent="0.25">
      <c r="A253" s="54">
        <v>43796</v>
      </c>
      <c r="B253" s="1">
        <v>251</v>
      </c>
      <c r="C253" s="1">
        <f t="shared" si="10"/>
        <v>247.56164383561642</v>
      </c>
      <c r="D253" s="1" t="s">
        <v>127</v>
      </c>
      <c r="E253" s="1">
        <f t="shared" si="12"/>
        <v>7.5616438356164224</v>
      </c>
      <c r="F253" s="55">
        <f>Table1[[#This Row],[Degrees Into Sign]]/30</f>
        <v>0.25205479452054741</v>
      </c>
    </row>
    <row r="254" spans="1:6" x14ac:dyDescent="0.25">
      <c r="A254" s="54">
        <v>43797</v>
      </c>
      <c r="B254" s="1">
        <v>252</v>
      </c>
      <c r="C254" s="1">
        <f t="shared" si="10"/>
        <v>248.54794520547946</v>
      </c>
      <c r="D254" s="1" t="s">
        <v>127</v>
      </c>
      <c r="E254" s="1">
        <f t="shared" si="12"/>
        <v>8.5479452054794649</v>
      </c>
      <c r="F254" s="55">
        <f>Table1[[#This Row],[Degrees Into Sign]]/30</f>
        <v>0.28493150684931551</v>
      </c>
    </row>
    <row r="255" spans="1:6" x14ac:dyDescent="0.25">
      <c r="A255" s="54">
        <v>43798</v>
      </c>
      <c r="B255" s="1">
        <v>253</v>
      </c>
      <c r="C255" s="1">
        <f t="shared" si="10"/>
        <v>249.53424657534248</v>
      </c>
      <c r="D255" s="1" t="s">
        <v>127</v>
      </c>
      <c r="E255" s="1">
        <f t="shared" si="12"/>
        <v>9.534246575342479</v>
      </c>
      <c r="F255" s="55">
        <f>Table1[[#This Row],[Degrees Into Sign]]/30</f>
        <v>0.31780821917808261</v>
      </c>
    </row>
    <row r="256" spans="1:6" x14ac:dyDescent="0.25">
      <c r="A256" s="54">
        <v>43799</v>
      </c>
      <c r="B256" s="1">
        <v>254</v>
      </c>
      <c r="C256" s="1">
        <f t="shared" si="10"/>
        <v>250.52054794520549</v>
      </c>
      <c r="D256" s="1" t="s">
        <v>127</v>
      </c>
      <c r="E256" s="1">
        <f t="shared" si="12"/>
        <v>10.520547945205493</v>
      </c>
      <c r="F256" s="55">
        <f>Table1[[#This Row],[Degrees Into Sign]]/30</f>
        <v>0.35068493150684976</v>
      </c>
    </row>
    <row r="257" spans="1:6" x14ac:dyDescent="0.25">
      <c r="A257" s="54">
        <v>43800</v>
      </c>
      <c r="B257" s="1">
        <v>255</v>
      </c>
      <c r="C257" s="1">
        <f t="shared" si="10"/>
        <v>251.50684931506851</v>
      </c>
      <c r="D257" s="1" t="s">
        <v>127</v>
      </c>
      <c r="E257" s="1">
        <f t="shared" si="12"/>
        <v>11.506849315068507</v>
      </c>
      <c r="F257" s="55">
        <f>Table1[[#This Row],[Degrees Into Sign]]/30</f>
        <v>0.38356164383561692</v>
      </c>
    </row>
    <row r="258" spans="1:6" x14ac:dyDescent="0.25">
      <c r="A258" s="54">
        <v>43801</v>
      </c>
      <c r="B258" s="1">
        <v>256</v>
      </c>
      <c r="C258" s="1">
        <f t="shared" si="10"/>
        <v>252.49315068493152</v>
      </c>
      <c r="D258" s="1" t="s">
        <v>127</v>
      </c>
      <c r="E258" s="1">
        <f t="shared" si="12"/>
        <v>12.493150684931521</v>
      </c>
      <c r="F258" s="55">
        <f>Table1[[#This Row],[Degrees Into Sign]]/30</f>
        <v>0.41643835616438402</v>
      </c>
    </row>
    <row r="259" spans="1:6" x14ac:dyDescent="0.25">
      <c r="A259" s="54">
        <v>43802</v>
      </c>
      <c r="B259" s="1">
        <v>257</v>
      </c>
      <c r="C259" s="1">
        <f t="shared" ref="C259:C322" si="13">B259/365*360</f>
        <v>253.47945205479451</v>
      </c>
      <c r="D259" s="1" t="s">
        <v>127</v>
      </c>
      <c r="E259" s="1">
        <f t="shared" si="12"/>
        <v>13.479452054794507</v>
      </c>
      <c r="F259" s="55">
        <f>Table1[[#This Row],[Degrees Into Sign]]/30</f>
        <v>0.44931506849315023</v>
      </c>
    </row>
    <row r="260" spans="1:6" x14ac:dyDescent="0.25">
      <c r="A260" s="54">
        <v>43803</v>
      </c>
      <c r="B260" s="1">
        <v>258</v>
      </c>
      <c r="C260" s="1">
        <f t="shared" si="13"/>
        <v>254.46575342465752</v>
      </c>
      <c r="D260" s="1" t="s">
        <v>127</v>
      </c>
      <c r="E260" s="1">
        <f t="shared" si="12"/>
        <v>14.465753424657521</v>
      </c>
      <c r="F260" s="55">
        <f>Table1[[#This Row],[Degrees Into Sign]]/30</f>
        <v>0.48219178082191738</v>
      </c>
    </row>
    <row r="261" spans="1:6" x14ac:dyDescent="0.25">
      <c r="A261" s="54">
        <v>43804</v>
      </c>
      <c r="B261" s="1">
        <v>259</v>
      </c>
      <c r="C261" s="1">
        <f t="shared" si="13"/>
        <v>255.45205479452054</v>
      </c>
      <c r="D261" s="1" t="s">
        <v>127</v>
      </c>
      <c r="E261" s="1">
        <f t="shared" si="12"/>
        <v>15.452054794520535</v>
      </c>
      <c r="F261" s="55">
        <f>Table1[[#This Row],[Degrees Into Sign]]/30</f>
        <v>0.51506849315068448</v>
      </c>
    </row>
    <row r="262" spans="1:6" x14ac:dyDescent="0.25">
      <c r="A262" s="54">
        <v>43805</v>
      </c>
      <c r="B262" s="1">
        <v>260</v>
      </c>
      <c r="C262" s="1">
        <f t="shared" si="13"/>
        <v>256.43835616438355</v>
      </c>
      <c r="D262" s="1" t="s">
        <v>127</v>
      </c>
      <c r="E262" s="1">
        <f t="shared" si="12"/>
        <v>16.438356164383549</v>
      </c>
      <c r="F262" s="55">
        <f>Table1[[#This Row],[Degrees Into Sign]]/30</f>
        <v>0.54794520547945169</v>
      </c>
    </row>
    <row r="263" spans="1:6" x14ac:dyDescent="0.25">
      <c r="A263" s="54">
        <v>43806</v>
      </c>
      <c r="B263" s="1">
        <v>261</v>
      </c>
      <c r="C263" s="1">
        <f t="shared" si="13"/>
        <v>257.42465753424653</v>
      </c>
      <c r="D263" s="1" t="s">
        <v>127</v>
      </c>
      <c r="E263" s="1">
        <f t="shared" si="12"/>
        <v>17.424657534246535</v>
      </c>
      <c r="F263" s="55">
        <f>Table1[[#This Row],[Degrees Into Sign]]/30</f>
        <v>0.58082191780821779</v>
      </c>
    </row>
    <row r="264" spans="1:6" x14ac:dyDescent="0.25">
      <c r="A264" s="54">
        <v>43807</v>
      </c>
      <c r="B264" s="1">
        <v>262</v>
      </c>
      <c r="C264" s="1">
        <f t="shared" si="13"/>
        <v>258.41095890410963</v>
      </c>
      <c r="D264" s="1" t="s">
        <v>127</v>
      </c>
      <c r="E264" s="1">
        <f t="shared" si="12"/>
        <v>18.410958904109634</v>
      </c>
      <c r="F264" s="55">
        <f>Table1[[#This Row],[Degrees Into Sign]]/30</f>
        <v>0.61369863013698778</v>
      </c>
    </row>
    <row r="265" spans="1:6" x14ac:dyDescent="0.25">
      <c r="A265" s="54">
        <v>43808</v>
      </c>
      <c r="B265" s="1">
        <v>263</v>
      </c>
      <c r="C265" s="1">
        <f t="shared" si="13"/>
        <v>259.39726027397262</v>
      </c>
      <c r="D265" s="1" t="s">
        <v>127</v>
      </c>
      <c r="E265" s="1">
        <f t="shared" si="12"/>
        <v>19.39726027397262</v>
      </c>
      <c r="F265" s="55">
        <f>Table1[[#This Row],[Degrees Into Sign]]/30</f>
        <v>0.64657534246575399</v>
      </c>
    </row>
    <row r="266" spans="1:6" x14ac:dyDescent="0.25">
      <c r="A266" s="54">
        <v>43809</v>
      </c>
      <c r="B266" s="1">
        <v>264</v>
      </c>
      <c r="C266" s="1">
        <f t="shared" si="13"/>
        <v>260.38356164383561</v>
      </c>
      <c r="D266" s="1" t="s">
        <v>127</v>
      </c>
      <c r="E266" s="1">
        <f t="shared" si="12"/>
        <v>20.383561643835606</v>
      </c>
      <c r="F266" s="55">
        <f>Table1[[#This Row],[Degrees Into Sign]]/30</f>
        <v>0.6794520547945202</v>
      </c>
    </row>
    <row r="267" spans="1:6" x14ac:dyDescent="0.25">
      <c r="A267" s="54">
        <v>43810</v>
      </c>
      <c r="B267" s="1">
        <v>265</v>
      </c>
      <c r="C267" s="1">
        <f t="shared" si="13"/>
        <v>261.36986301369865</v>
      </c>
      <c r="D267" s="1" t="s">
        <v>127</v>
      </c>
      <c r="E267" s="1">
        <f t="shared" si="12"/>
        <v>21.369863013698648</v>
      </c>
      <c r="F267" s="55">
        <f>Table1[[#This Row],[Degrees Into Sign]]/30</f>
        <v>0.7123287671232883</v>
      </c>
    </row>
    <row r="268" spans="1:6" x14ac:dyDescent="0.25">
      <c r="A268" s="54">
        <v>43811</v>
      </c>
      <c r="B268" s="1">
        <v>266</v>
      </c>
      <c r="C268" s="1">
        <f t="shared" si="13"/>
        <v>262.35616438356163</v>
      </c>
      <c r="D268" s="1" t="s">
        <v>127</v>
      </c>
      <c r="E268" s="1">
        <f t="shared" si="12"/>
        <v>22.356164383561634</v>
      </c>
      <c r="F268" s="55">
        <f>Table1[[#This Row],[Degrees Into Sign]]/30</f>
        <v>0.74520547945205451</v>
      </c>
    </row>
    <row r="269" spans="1:6" x14ac:dyDescent="0.25">
      <c r="A269" s="54">
        <v>43812</v>
      </c>
      <c r="B269" s="1">
        <v>267</v>
      </c>
      <c r="C269" s="1">
        <f t="shared" si="13"/>
        <v>263.34246575342468</v>
      </c>
      <c r="D269" s="1" t="s">
        <v>127</v>
      </c>
      <c r="E269" s="1">
        <f t="shared" si="12"/>
        <v>23.342465753424676</v>
      </c>
      <c r="F269" s="55">
        <f>Table1[[#This Row],[Degrees Into Sign]]/30</f>
        <v>0.7780821917808225</v>
      </c>
    </row>
    <row r="270" spans="1:6" x14ac:dyDescent="0.25">
      <c r="A270" s="54">
        <v>43813</v>
      </c>
      <c r="B270" s="1">
        <v>268</v>
      </c>
      <c r="C270" s="1">
        <f t="shared" si="13"/>
        <v>264.32876712328766</v>
      </c>
      <c r="D270" s="1" t="s">
        <v>127</v>
      </c>
      <c r="E270" s="1">
        <f t="shared" si="12"/>
        <v>24.328767123287662</v>
      </c>
      <c r="F270" s="55">
        <f>Table1[[#This Row],[Degrees Into Sign]]/30</f>
        <v>0.81095890410958871</v>
      </c>
    </row>
    <row r="271" spans="1:6" x14ac:dyDescent="0.25">
      <c r="A271" s="54">
        <v>43814</v>
      </c>
      <c r="B271" s="1">
        <v>269</v>
      </c>
      <c r="C271" s="1">
        <f t="shared" si="13"/>
        <v>265.31506849315065</v>
      </c>
      <c r="D271" s="1" t="s">
        <v>127</v>
      </c>
      <c r="E271" s="1">
        <f t="shared" si="12"/>
        <v>25.315068493150648</v>
      </c>
      <c r="F271" s="55">
        <f>Table1[[#This Row],[Degrees Into Sign]]/30</f>
        <v>0.84383561643835492</v>
      </c>
    </row>
    <row r="272" spans="1:6" x14ac:dyDescent="0.25">
      <c r="A272" s="54">
        <v>43815</v>
      </c>
      <c r="B272" s="1">
        <v>270</v>
      </c>
      <c r="C272" s="1">
        <f t="shared" si="13"/>
        <v>266.30136986301369</v>
      </c>
      <c r="D272" s="1" t="s">
        <v>127</v>
      </c>
      <c r="E272" s="1">
        <f t="shared" si="12"/>
        <v>26.30136986301369</v>
      </c>
      <c r="F272" s="55">
        <f>Table1[[#This Row],[Degrees Into Sign]]/30</f>
        <v>0.87671232876712302</v>
      </c>
    </row>
    <row r="273" spans="1:6" x14ac:dyDescent="0.25">
      <c r="A273" s="54">
        <v>43816</v>
      </c>
      <c r="B273" s="1">
        <v>271</v>
      </c>
      <c r="C273" s="1">
        <f t="shared" si="13"/>
        <v>267.28767123287668</v>
      </c>
      <c r="D273" s="1" t="s">
        <v>127</v>
      </c>
      <c r="E273" s="1">
        <f t="shared" si="12"/>
        <v>27.287671232876676</v>
      </c>
      <c r="F273" s="55">
        <f>Table1[[#This Row],[Degrees Into Sign]]/30</f>
        <v>0.90958904109588923</v>
      </c>
    </row>
    <row r="274" spans="1:6" x14ac:dyDescent="0.25">
      <c r="A274" s="54">
        <v>43817</v>
      </c>
      <c r="B274" s="1">
        <v>272</v>
      </c>
      <c r="C274" s="1">
        <f t="shared" si="13"/>
        <v>268.27397260273972</v>
      </c>
      <c r="D274" s="1" t="s">
        <v>127</v>
      </c>
      <c r="E274" s="1">
        <f t="shared" si="12"/>
        <v>28.273972602739718</v>
      </c>
      <c r="F274" s="55">
        <f>Table1[[#This Row],[Degrees Into Sign]]/30</f>
        <v>0.94246575342465733</v>
      </c>
    </row>
    <row r="275" spans="1:6" x14ac:dyDescent="0.25">
      <c r="A275" s="54">
        <v>43818</v>
      </c>
      <c r="B275" s="1">
        <v>273</v>
      </c>
      <c r="C275" s="1">
        <f t="shared" si="13"/>
        <v>269.26027397260276</v>
      </c>
      <c r="D275" s="1" t="s">
        <v>127</v>
      </c>
      <c r="E275" s="1">
        <f t="shared" si="12"/>
        <v>29.260273972602761</v>
      </c>
      <c r="F275" s="55">
        <f>Table1[[#This Row],[Degrees Into Sign]]/30</f>
        <v>0.97534246575342531</v>
      </c>
    </row>
    <row r="276" spans="1:6" x14ac:dyDescent="0.25">
      <c r="A276" s="54">
        <v>43819</v>
      </c>
      <c r="B276" s="1">
        <v>274</v>
      </c>
      <c r="C276" s="1">
        <f t="shared" si="13"/>
        <v>270.24657534246575</v>
      </c>
      <c r="D276" s="1" t="s">
        <v>155</v>
      </c>
      <c r="E276" s="1">
        <f>C276-270</f>
        <v>0.24657534246574642</v>
      </c>
      <c r="F276" s="55">
        <f>Table1[[#This Row],[Degrees Into Sign]]/30</f>
        <v>8.2191780821915476E-3</v>
      </c>
    </row>
    <row r="277" spans="1:6" x14ac:dyDescent="0.25">
      <c r="A277" s="54">
        <v>43820</v>
      </c>
      <c r="B277" s="1">
        <v>275</v>
      </c>
      <c r="C277" s="1">
        <f t="shared" si="13"/>
        <v>271.23287671232879</v>
      </c>
      <c r="D277" s="1" t="s">
        <v>155</v>
      </c>
      <c r="E277" s="1">
        <f t="shared" ref="E277:E306" si="14">C277-270</f>
        <v>1.2328767123287889</v>
      </c>
      <c r="F277" s="55">
        <f>Table1[[#This Row],[Degrees Into Sign]]/30</f>
        <v>4.109589041095963E-2</v>
      </c>
    </row>
    <row r="278" spans="1:6" x14ac:dyDescent="0.25">
      <c r="A278" s="54">
        <v>43821</v>
      </c>
      <c r="B278" s="1">
        <v>276</v>
      </c>
      <c r="C278" s="1">
        <f t="shared" si="13"/>
        <v>272.21917808219177</v>
      </c>
      <c r="D278" s="1" t="s">
        <v>155</v>
      </c>
      <c r="E278" s="1">
        <f t="shared" si="14"/>
        <v>2.2191780821917746</v>
      </c>
      <c r="F278" s="55">
        <f>Table1[[#This Row],[Degrees Into Sign]]/30</f>
        <v>7.3972602739725821E-2</v>
      </c>
    </row>
    <row r="279" spans="1:6" x14ac:dyDescent="0.25">
      <c r="A279" s="54">
        <v>43822</v>
      </c>
      <c r="B279" s="1">
        <v>277</v>
      </c>
      <c r="C279" s="1">
        <f t="shared" si="13"/>
        <v>273.20547945205482</v>
      </c>
      <c r="D279" s="1" t="s">
        <v>155</v>
      </c>
      <c r="E279" s="1">
        <f t="shared" si="14"/>
        <v>3.2054794520548171</v>
      </c>
      <c r="F279" s="55">
        <f>Table1[[#This Row],[Degrees Into Sign]]/30</f>
        <v>0.10684931506849391</v>
      </c>
    </row>
    <row r="280" spans="1:6" x14ac:dyDescent="0.25">
      <c r="A280" s="54">
        <v>43823</v>
      </c>
      <c r="B280" s="1">
        <v>278</v>
      </c>
      <c r="C280" s="1">
        <f t="shared" si="13"/>
        <v>274.1917808219178</v>
      </c>
      <c r="D280" s="1" t="s">
        <v>155</v>
      </c>
      <c r="E280" s="1">
        <f t="shared" si="14"/>
        <v>4.1917808219178028</v>
      </c>
      <c r="F280" s="55">
        <f>Table1[[#This Row],[Degrees Into Sign]]/30</f>
        <v>0.13972602739726009</v>
      </c>
    </row>
    <row r="281" spans="1:6" x14ac:dyDescent="0.25">
      <c r="A281" s="54">
        <v>43824</v>
      </c>
      <c r="B281" s="1">
        <v>279</v>
      </c>
      <c r="C281" s="1">
        <f t="shared" si="13"/>
        <v>275.17808219178079</v>
      </c>
      <c r="D281" s="1" t="s">
        <v>155</v>
      </c>
      <c r="E281" s="1">
        <f t="shared" si="14"/>
        <v>5.1780821917807884</v>
      </c>
      <c r="F281" s="55">
        <f>Table1[[#This Row],[Degrees Into Sign]]/30</f>
        <v>0.17260273972602627</v>
      </c>
    </row>
    <row r="282" spans="1:6" x14ac:dyDescent="0.25">
      <c r="A282" s="54">
        <v>43825</v>
      </c>
      <c r="B282" s="1">
        <v>280</v>
      </c>
      <c r="C282" s="1">
        <f t="shared" si="13"/>
        <v>276.16438356164383</v>
      </c>
      <c r="D282" s="1" t="s">
        <v>155</v>
      </c>
      <c r="E282" s="1">
        <f t="shared" si="14"/>
        <v>6.1643835616438309</v>
      </c>
      <c r="F282" s="55">
        <f>Table1[[#This Row],[Degrees Into Sign]]/30</f>
        <v>0.20547945205479437</v>
      </c>
    </row>
    <row r="283" spans="1:6" x14ac:dyDescent="0.25">
      <c r="A283" s="54">
        <v>43826</v>
      </c>
      <c r="B283" s="1">
        <v>281</v>
      </c>
      <c r="C283" s="1">
        <f t="shared" si="13"/>
        <v>277.15068493150682</v>
      </c>
      <c r="D283" s="1" t="s">
        <v>155</v>
      </c>
      <c r="E283" s="1">
        <f t="shared" si="14"/>
        <v>7.1506849315068166</v>
      </c>
      <c r="F283" s="55">
        <f>Table1[[#This Row],[Degrees Into Sign]]/30</f>
        <v>0.23835616438356055</v>
      </c>
    </row>
    <row r="284" spans="1:6" x14ac:dyDescent="0.25">
      <c r="A284" s="54">
        <v>43827</v>
      </c>
      <c r="B284" s="1">
        <v>282</v>
      </c>
      <c r="C284" s="1">
        <f t="shared" si="13"/>
        <v>278.13698630136986</v>
      </c>
      <c r="D284" s="1" t="s">
        <v>155</v>
      </c>
      <c r="E284" s="1">
        <f t="shared" si="14"/>
        <v>8.1369863013698591</v>
      </c>
      <c r="F284" s="55">
        <f>Table1[[#This Row],[Degrees Into Sign]]/30</f>
        <v>0.27123287671232865</v>
      </c>
    </row>
    <row r="285" spans="1:6" x14ac:dyDescent="0.25">
      <c r="A285" s="54">
        <v>43828</v>
      </c>
      <c r="B285" s="1">
        <v>283</v>
      </c>
      <c r="C285" s="1">
        <f t="shared" si="13"/>
        <v>279.1232876712329</v>
      </c>
      <c r="D285" s="1" t="s">
        <v>155</v>
      </c>
      <c r="E285" s="1">
        <f t="shared" si="14"/>
        <v>9.1232876712329016</v>
      </c>
      <c r="F285" s="55">
        <f>Table1[[#This Row],[Degrees Into Sign]]/30</f>
        <v>0.3041095890410967</v>
      </c>
    </row>
    <row r="286" spans="1:6" x14ac:dyDescent="0.25">
      <c r="A286" s="54">
        <v>43829</v>
      </c>
      <c r="B286" s="1">
        <v>284</v>
      </c>
      <c r="C286" s="1">
        <f t="shared" si="13"/>
        <v>280.10958904109589</v>
      </c>
      <c r="D286" s="1" t="s">
        <v>155</v>
      </c>
      <c r="E286" s="1">
        <f t="shared" si="14"/>
        <v>10.109589041095887</v>
      </c>
      <c r="F286" s="55">
        <f>Table1[[#This Row],[Degrees Into Sign]]/30</f>
        <v>0.33698630136986291</v>
      </c>
    </row>
    <row r="287" spans="1:6" x14ac:dyDescent="0.25">
      <c r="A287" s="54">
        <v>43830</v>
      </c>
      <c r="B287" s="1">
        <v>285</v>
      </c>
      <c r="C287" s="1">
        <f t="shared" si="13"/>
        <v>281.09589041095893</v>
      </c>
      <c r="D287" s="1" t="s">
        <v>155</v>
      </c>
      <c r="E287" s="1">
        <f t="shared" si="14"/>
        <v>11.09589041095893</v>
      </c>
      <c r="F287" s="55">
        <f>Table1[[#This Row],[Degrees Into Sign]]/30</f>
        <v>0.369863013698631</v>
      </c>
    </row>
    <row r="288" spans="1:6" x14ac:dyDescent="0.25">
      <c r="A288" s="54">
        <v>43831</v>
      </c>
      <c r="B288" s="1">
        <v>286</v>
      </c>
      <c r="C288" s="1">
        <f t="shared" si="13"/>
        <v>282.08219178082192</v>
      </c>
      <c r="D288" s="1" t="s">
        <v>155</v>
      </c>
      <c r="E288" s="1">
        <f t="shared" si="14"/>
        <v>12.082191780821915</v>
      </c>
      <c r="F288" s="55">
        <f>Table1[[#This Row],[Degrees Into Sign]]/30</f>
        <v>0.40273972602739716</v>
      </c>
    </row>
    <row r="289" spans="1:6" x14ac:dyDescent="0.25">
      <c r="A289" s="54">
        <v>43832</v>
      </c>
      <c r="B289" s="1">
        <v>287</v>
      </c>
      <c r="C289" s="1">
        <f t="shared" si="13"/>
        <v>283.0684931506849</v>
      </c>
      <c r="D289" s="1" t="s">
        <v>155</v>
      </c>
      <c r="E289" s="1">
        <f t="shared" si="14"/>
        <v>13.068493150684901</v>
      </c>
      <c r="F289" s="55">
        <f>Table1[[#This Row],[Degrees Into Sign]]/30</f>
        <v>0.43561643835616337</v>
      </c>
    </row>
    <row r="290" spans="1:6" x14ac:dyDescent="0.25">
      <c r="A290" s="54">
        <v>43833</v>
      </c>
      <c r="B290" s="1">
        <v>288</v>
      </c>
      <c r="C290" s="1">
        <f t="shared" si="13"/>
        <v>284.05479452054794</v>
      </c>
      <c r="D290" s="1" t="s">
        <v>155</v>
      </c>
      <c r="E290" s="1">
        <f t="shared" si="14"/>
        <v>14.054794520547944</v>
      </c>
      <c r="F290" s="55">
        <f>Table1[[#This Row],[Degrees Into Sign]]/30</f>
        <v>0.46849315068493147</v>
      </c>
    </row>
    <row r="291" spans="1:6" x14ac:dyDescent="0.25">
      <c r="A291" s="54">
        <v>43834</v>
      </c>
      <c r="B291" s="1">
        <v>289</v>
      </c>
      <c r="C291" s="1">
        <f t="shared" si="13"/>
        <v>285.04109589041093</v>
      </c>
      <c r="D291" s="1" t="s">
        <v>155</v>
      </c>
      <c r="E291" s="1">
        <f t="shared" si="14"/>
        <v>15.041095890410929</v>
      </c>
      <c r="F291" s="55">
        <f>Table1[[#This Row],[Degrees Into Sign]]/30</f>
        <v>0.50136986301369768</v>
      </c>
    </row>
    <row r="292" spans="1:6" x14ac:dyDescent="0.25">
      <c r="A292" s="54">
        <v>43835</v>
      </c>
      <c r="B292" s="1">
        <v>290</v>
      </c>
      <c r="C292" s="1">
        <f t="shared" si="13"/>
        <v>286.02739726027397</v>
      </c>
      <c r="D292" s="1" t="s">
        <v>155</v>
      </c>
      <c r="E292" s="1">
        <f t="shared" si="14"/>
        <v>16.027397260273972</v>
      </c>
      <c r="F292" s="55">
        <f>Table1[[#This Row],[Degrees Into Sign]]/30</f>
        <v>0.53424657534246578</v>
      </c>
    </row>
    <row r="293" spans="1:6" x14ac:dyDescent="0.25">
      <c r="A293" s="54">
        <v>43836</v>
      </c>
      <c r="B293" s="1">
        <v>291</v>
      </c>
      <c r="C293" s="1">
        <f t="shared" si="13"/>
        <v>287.01369863013696</v>
      </c>
      <c r="D293" s="1" t="s">
        <v>155</v>
      </c>
      <c r="E293" s="1">
        <f t="shared" si="14"/>
        <v>17.013698630136957</v>
      </c>
      <c r="F293" s="55">
        <f>Table1[[#This Row],[Degrees Into Sign]]/30</f>
        <v>0.56712328767123188</v>
      </c>
    </row>
    <row r="294" spans="1:6" x14ac:dyDescent="0.25">
      <c r="A294" s="54">
        <v>43837</v>
      </c>
      <c r="B294" s="1">
        <v>292</v>
      </c>
      <c r="C294" s="1">
        <f t="shared" si="13"/>
        <v>288</v>
      </c>
      <c r="D294" s="1" t="s">
        <v>155</v>
      </c>
      <c r="E294" s="1">
        <f t="shared" si="14"/>
        <v>18</v>
      </c>
      <c r="F294" s="55">
        <f>Table1[[#This Row],[Degrees Into Sign]]/30</f>
        <v>0.6</v>
      </c>
    </row>
    <row r="295" spans="1:6" x14ac:dyDescent="0.25">
      <c r="A295" s="54">
        <v>43838</v>
      </c>
      <c r="B295" s="1">
        <v>293</v>
      </c>
      <c r="C295" s="1">
        <f t="shared" si="13"/>
        <v>288.98630136986304</v>
      </c>
      <c r="D295" s="1" t="s">
        <v>155</v>
      </c>
      <c r="E295" s="1">
        <f t="shared" si="14"/>
        <v>18.986301369863043</v>
      </c>
      <c r="F295" s="55">
        <f>Table1[[#This Row],[Degrees Into Sign]]/30</f>
        <v>0.63287671232876808</v>
      </c>
    </row>
    <row r="296" spans="1:6" x14ac:dyDescent="0.25">
      <c r="A296" s="54">
        <v>43839</v>
      </c>
      <c r="B296" s="1">
        <v>294</v>
      </c>
      <c r="C296" s="1">
        <f t="shared" si="13"/>
        <v>289.97260273972603</v>
      </c>
      <c r="D296" s="1" t="s">
        <v>155</v>
      </c>
      <c r="E296" s="1">
        <f t="shared" si="14"/>
        <v>19.972602739726028</v>
      </c>
      <c r="F296" s="55">
        <f>Table1[[#This Row],[Degrees Into Sign]]/30</f>
        <v>0.66575342465753429</v>
      </c>
    </row>
    <row r="297" spans="1:6" x14ac:dyDescent="0.25">
      <c r="A297" s="54">
        <v>43840</v>
      </c>
      <c r="B297" s="1">
        <v>295</v>
      </c>
      <c r="C297" s="1">
        <f t="shared" si="13"/>
        <v>290.95890410958907</v>
      </c>
      <c r="D297" s="1" t="s">
        <v>155</v>
      </c>
      <c r="E297" s="1">
        <f t="shared" si="14"/>
        <v>20.958904109589071</v>
      </c>
      <c r="F297" s="55">
        <f>Table1[[#This Row],[Degrees Into Sign]]/30</f>
        <v>0.69863013698630239</v>
      </c>
    </row>
    <row r="298" spans="1:6" x14ac:dyDescent="0.25">
      <c r="A298" s="54">
        <v>43841</v>
      </c>
      <c r="B298" s="1">
        <v>296</v>
      </c>
      <c r="C298" s="1">
        <f t="shared" si="13"/>
        <v>291.94520547945206</v>
      </c>
      <c r="D298" s="1" t="s">
        <v>155</v>
      </c>
      <c r="E298" s="1">
        <f t="shared" si="14"/>
        <v>21.945205479452056</v>
      </c>
      <c r="F298" s="55">
        <f>Table1[[#This Row],[Degrees Into Sign]]/30</f>
        <v>0.7315068493150686</v>
      </c>
    </row>
    <row r="299" spans="1:6" x14ac:dyDescent="0.25">
      <c r="A299" s="54">
        <v>43842</v>
      </c>
      <c r="B299" s="1">
        <v>297</v>
      </c>
      <c r="C299" s="1">
        <f t="shared" si="13"/>
        <v>292.93150684931504</v>
      </c>
      <c r="D299" s="1" t="s">
        <v>155</v>
      </c>
      <c r="E299" s="1">
        <f t="shared" si="14"/>
        <v>22.931506849315042</v>
      </c>
      <c r="F299" s="55">
        <f>Table1[[#This Row],[Degrees Into Sign]]/30</f>
        <v>0.7643835616438347</v>
      </c>
    </row>
    <row r="300" spans="1:6" x14ac:dyDescent="0.25">
      <c r="A300" s="54">
        <v>43843</v>
      </c>
      <c r="B300" s="1">
        <v>298</v>
      </c>
      <c r="C300" s="1">
        <f t="shared" si="13"/>
        <v>293.91780821917808</v>
      </c>
      <c r="D300" s="1" t="s">
        <v>155</v>
      </c>
      <c r="E300" s="1">
        <f t="shared" si="14"/>
        <v>23.917808219178085</v>
      </c>
      <c r="F300" s="55">
        <f>Table1[[#This Row],[Degrees Into Sign]]/30</f>
        <v>0.7972602739726028</v>
      </c>
    </row>
    <row r="301" spans="1:6" x14ac:dyDescent="0.25">
      <c r="A301" s="54">
        <v>43844</v>
      </c>
      <c r="B301" s="1">
        <v>299</v>
      </c>
      <c r="C301" s="1">
        <f t="shared" si="13"/>
        <v>294.90410958904107</v>
      </c>
      <c r="D301" s="1" t="s">
        <v>155</v>
      </c>
      <c r="E301" s="1">
        <f t="shared" si="14"/>
        <v>24.90410958904107</v>
      </c>
      <c r="F301" s="55">
        <f>Table1[[#This Row],[Degrees Into Sign]]/30</f>
        <v>0.83013698630136901</v>
      </c>
    </row>
    <row r="302" spans="1:6" x14ac:dyDescent="0.25">
      <c r="A302" s="54">
        <v>43845</v>
      </c>
      <c r="B302" s="1">
        <v>300</v>
      </c>
      <c r="C302" s="1">
        <f t="shared" si="13"/>
        <v>295.89041095890411</v>
      </c>
      <c r="D302" s="1" t="s">
        <v>155</v>
      </c>
      <c r="E302" s="1">
        <f t="shared" si="14"/>
        <v>25.890410958904113</v>
      </c>
      <c r="F302" s="55">
        <f>Table1[[#This Row],[Degrees Into Sign]]/30</f>
        <v>0.8630136986301371</v>
      </c>
    </row>
    <row r="303" spans="1:6" x14ac:dyDescent="0.25">
      <c r="A303" s="54">
        <v>43846</v>
      </c>
      <c r="B303" s="1">
        <v>301</v>
      </c>
      <c r="C303" s="1">
        <f t="shared" si="13"/>
        <v>296.87671232876716</v>
      </c>
      <c r="D303" s="1" t="s">
        <v>155</v>
      </c>
      <c r="E303" s="1">
        <f t="shared" si="14"/>
        <v>26.876712328767155</v>
      </c>
      <c r="F303" s="55">
        <f>Table1[[#This Row],[Degrees Into Sign]]/30</f>
        <v>0.8958904109589052</v>
      </c>
    </row>
    <row r="304" spans="1:6" x14ac:dyDescent="0.25">
      <c r="A304" s="54">
        <v>43847</v>
      </c>
      <c r="B304" s="1">
        <v>302</v>
      </c>
      <c r="C304" s="1">
        <f t="shared" si="13"/>
        <v>297.86301369863014</v>
      </c>
      <c r="D304" s="1" t="s">
        <v>155</v>
      </c>
      <c r="E304" s="1">
        <f t="shared" si="14"/>
        <v>27.863013698630141</v>
      </c>
      <c r="F304" s="55">
        <f>Table1[[#This Row],[Degrees Into Sign]]/30</f>
        <v>0.92876712328767141</v>
      </c>
    </row>
    <row r="305" spans="1:6" x14ac:dyDescent="0.25">
      <c r="A305" s="54">
        <v>43848</v>
      </c>
      <c r="B305" s="1">
        <v>303</v>
      </c>
      <c r="C305" s="1">
        <f t="shared" si="13"/>
        <v>298.84931506849318</v>
      </c>
      <c r="D305" s="1" t="s">
        <v>155</v>
      </c>
      <c r="E305" s="1">
        <f t="shared" si="14"/>
        <v>28.849315068493183</v>
      </c>
      <c r="F305" s="55">
        <f>Table1[[#This Row],[Degrees Into Sign]]/30</f>
        <v>0.9616438356164394</v>
      </c>
    </row>
    <row r="306" spans="1:6" x14ac:dyDescent="0.25">
      <c r="A306" s="54">
        <v>43849</v>
      </c>
      <c r="B306" s="1">
        <v>304</v>
      </c>
      <c r="C306" s="1">
        <f t="shared" si="13"/>
        <v>299.83561643835617</v>
      </c>
      <c r="D306" s="1" t="s">
        <v>155</v>
      </c>
      <c r="E306" s="1">
        <f t="shared" si="14"/>
        <v>29.835616438356169</v>
      </c>
      <c r="F306" s="55">
        <f>Table1[[#This Row],[Degrees Into Sign]]/30</f>
        <v>0.99452054794520561</v>
      </c>
    </row>
    <row r="307" spans="1:6" x14ac:dyDescent="0.25">
      <c r="A307" s="54">
        <v>43850</v>
      </c>
      <c r="B307" s="1">
        <v>305</v>
      </c>
      <c r="C307" s="1">
        <f t="shared" si="13"/>
        <v>300.82191780821915</v>
      </c>
      <c r="D307" s="1" t="s">
        <v>128</v>
      </c>
      <c r="E307" s="1">
        <f>C307-300</f>
        <v>0.82191780821915472</v>
      </c>
      <c r="F307" s="55">
        <f>Table1[[#This Row],[Degrees Into Sign]]/30</f>
        <v>2.7397260273971824E-2</v>
      </c>
    </row>
    <row r="308" spans="1:6" x14ac:dyDescent="0.25">
      <c r="A308" s="54">
        <v>43851</v>
      </c>
      <c r="B308" s="1">
        <v>306</v>
      </c>
      <c r="C308" s="1">
        <f t="shared" si="13"/>
        <v>301.8082191780822</v>
      </c>
      <c r="D308" s="1" t="s">
        <v>128</v>
      </c>
      <c r="E308" s="1">
        <f t="shared" ref="E308:E336" si="15">C308-300</f>
        <v>1.8082191780821972</v>
      </c>
      <c r="F308" s="55">
        <f>Table1[[#This Row],[Degrees Into Sign]]/30</f>
        <v>6.0273972602739909E-2</v>
      </c>
    </row>
    <row r="309" spans="1:6" x14ac:dyDescent="0.25">
      <c r="A309" s="54">
        <v>43852</v>
      </c>
      <c r="B309" s="1">
        <v>307</v>
      </c>
      <c r="C309" s="1">
        <f t="shared" si="13"/>
        <v>302.79452054794518</v>
      </c>
      <c r="D309" s="1" t="s">
        <v>128</v>
      </c>
      <c r="E309" s="1">
        <f t="shared" si="15"/>
        <v>2.7945205479451829</v>
      </c>
      <c r="F309" s="55">
        <f>Table1[[#This Row],[Degrees Into Sign]]/30</f>
        <v>9.3150684931506092E-2</v>
      </c>
    </row>
    <row r="310" spans="1:6" x14ac:dyDescent="0.25">
      <c r="A310" s="54">
        <v>43853</v>
      </c>
      <c r="B310" s="1">
        <v>308</v>
      </c>
      <c r="C310" s="1">
        <f t="shared" si="13"/>
        <v>303.78082191780823</v>
      </c>
      <c r="D310" s="1" t="s">
        <v>128</v>
      </c>
      <c r="E310" s="1">
        <f t="shared" si="15"/>
        <v>3.7808219178082254</v>
      </c>
      <c r="F310" s="55">
        <f>Table1[[#This Row],[Degrees Into Sign]]/30</f>
        <v>0.12602739726027418</v>
      </c>
    </row>
    <row r="311" spans="1:6" x14ac:dyDescent="0.25">
      <c r="A311" s="54">
        <v>43854</v>
      </c>
      <c r="B311" s="1">
        <v>309</v>
      </c>
      <c r="C311" s="1">
        <f t="shared" si="13"/>
        <v>304.76712328767121</v>
      </c>
      <c r="D311" s="1" t="s">
        <v>128</v>
      </c>
      <c r="E311" s="1">
        <f t="shared" si="15"/>
        <v>4.7671232876712111</v>
      </c>
      <c r="F311" s="55">
        <f>Table1[[#This Row],[Degrees Into Sign]]/30</f>
        <v>0.15890410958904036</v>
      </c>
    </row>
    <row r="312" spans="1:6" x14ac:dyDescent="0.25">
      <c r="A312" s="54">
        <v>43855</v>
      </c>
      <c r="B312" s="1">
        <v>310</v>
      </c>
      <c r="C312" s="1">
        <f t="shared" si="13"/>
        <v>305.75342465753425</v>
      </c>
      <c r="D312" s="1" t="s">
        <v>128</v>
      </c>
      <c r="E312" s="1">
        <f t="shared" si="15"/>
        <v>5.7534246575342536</v>
      </c>
      <c r="F312" s="55">
        <f>Table1[[#This Row],[Degrees Into Sign]]/30</f>
        <v>0.19178082191780846</v>
      </c>
    </row>
    <row r="313" spans="1:6" x14ac:dyDescent="0.25">
      <c r="A313" s="54">
        <v>43856</v>
      </c>
      <c r="B313" s="1">
        <v>311</v>
      </c>
      <c r="C313" s="1">
        <f t="shared" si="13"/>
        <v>306.7397260273973</v>
      </c>
      <c r="D313" s="1" t="s">
        <v>128</v>
      </c>
      <c r="E313" s="1">
        <f t="shared" si="15"/>
        <v>6.7397260273972961</v>
      </c>
      <c r="F313" s="55">
        <f>Table1[[#This Row],[Degrees Into Sign]]/30</f>
        <v>0.22465753424657653</v>
      </c>
    </row>
    <row r="314" spans="1:6" x14ac:dyDescent="0.25">
      <c r="A314" s="54">
        <v>43857</v>
      </c>
      <c r="B314" s="1">
        <v>312</v>
      </c>
      <c r="C314" s="1">
        <f t="shared" si="13"/>
        <v>307.72602739726028</v>
      </c>
      <c r="D314" s="1" t="s">
        <v>128</v>
      </c>
      <c r="E314" s="1">
        <f t="shared" si="15"/>
        <v>7.7260273972602818</v>
      </c>
      <c r="F314" s="55">
        <f>Table1[[#This Row],[Degrees Into Sign]]/30</f>
        <v>0.25753424657534274</v>
      </c>
    </row>
    <row r="315" spans="1:6" x14ac:dyDescent="0.25">
      <c r="A315" s="54">
        <v>43858</v>
      </c>
      <c r="B315" s="1">
        <v>313</v>
      </c>
      <c r="C315" s="1">
        <f t="shared" si="13"/>
        <v>308.71232876712332</v>
      </c>
      <c r="D315" s="1" t="s">
        <v>128</v>
      </c>
      <c r="E315" s="1">
        <f t="shared" si="15"/>
        <v>8.7123287671233243</v>
      </c>
      <c r="F315" s="55">
        <f>Table1[[#This Row],[Degrees Into Sign]]/30</f>
        <v>0.29041095890411078</v>
      </c>
    </row>
    <row r="316" spans="1:6" x14ac:dyDescent="0.25">
      <c r="A316" s="54">
        <v>43859</v>
      </c>
      <c r="B316" s="1">
        <v>314</v>
      </c>
      <c r="C316" s="1">
        <f t="shared" si="13"/>
        <v>309.69863013698631</v>
      </c>
      <c r="D316" s="1" t="s">
        <v>128</v>
      </c>
      <c r="E316" s="1">
        <f t="shared" si="15"/>
        <v>9.6986301369863099</v>
      </c>
      <c r="F316" s="55">
        <f>Table1[[#This Row],[Degrees Into Sign]]/30</f>
        <v>0.32328767123287699</v>
      </c>
    </row>
    <row r="317" spans="1:6" x14ac:dyDescent="0.25">
      <c r="A317" s="54">
        <v>43860</v>
      </c>
      <c r="B317" s="1">
        <v>315</v>
      </c>
      <c r="C317" s="1">
        <f t="shared" si="13"/>
        <v>310.6849315068493</v>
      </c>
      <c r="D317" s="1" t="s">
        <v>128</v>
      </c>
      <c r="E317" s="1">
        <f t="shared" si="15"/>
        <v>10.684931506849296</v>
      </c>
      <c r="F317" s="55">
        <f>Table1[[#This Row],[Degrees Into Sign]]/30</f>
        <v>0.35616438356164321</v>
      </c>
    </row>
    <row r="318" spans="1:6" x14ac:dyDescent="0.25">
      <c r="A318" s="54">
        <v>43861</v>
      </c>
      <c r="B318" s="1">
        <v>316</v>
      </c>
      <c r="C318" s="1">
        <f t="shared" si="13"/>
        <v>311.67123287671234</v>
      </c>
      <c r="D318" s="1" t="s">
        <v>128</v>
      </c>
      <c r="E318" s="1">
        <f t="shared" si="15"/>
        <v>11.671232876712338</v>
      </c>
      <c r="F318" s="55">
        <f>Table1[[#This Row],[Degrees Into Sign]]/30</f>
        <v>0.38904109589041125</v>
      </c>
    </row>
    <row r="319" spans="1:6" x14ac:dyDescent="0.25">
      <c r="A319" s="54">
        <v>43862</v>
      </c>
      <c r="B319" s="1">
        <v>317</v>
      </c>
      <c r="C319" s="1">
        <f t="shared" si="13"/>
        <v>312.65753424657532</v>
      </c>
      <c r="D319" s="1" t="s">
        <v>128</v>
      </c>
      <c r="E319" s="1">
        <f t="shared" si="15"/>
        <v>12.657534246575324</v>
      </c>
      <c r="F319" s="55">
        <f>Table1[[#This Row],[Degrees Into Sign]]/30</f>
        <v>0.42191780821917746</v>
      </c>
    </row>
    <row r="320" spans="1:6" x14ac:dyDescent="0.25">
      <c r="A320" s="54">
        <v>43863</v>
      </c>
      <c r="B320" s="1">
        <v>318</v>
      </c>
      <c r="C320" s="1">
        <f t="shared" si="13"/>
        <v>313.64383561643837</v>
      </c>
      <c r="D320" s="1" t="s">
        <v>128</v>
      </c>
      <c r="E320" s="1">
        <f t="shared" si="15"/>
        <v>13.643835616438366</v>
      </c>
      <c r="F320" s="55">
        <f>Table1[[#This Row],[Degrees Into Sign]]/30</f>
        <v>0.45479452054794556</v>
      </c>
    </row>
    <row r="321" spans="1:6" x14ac:dyDescent="0.25">
      <c r="A321" s="54">
        <v>43864</v>
      </c>
      <c r="B321" s="1">
        <v>319</v>
      </c>
      <c r="C321" s="1">
        <f t="shared" si="13"/>
        <v>314.63013698630135</v>
      </c>
      <c r="D321" s="1" t="s">
        <v>128</v>
      </c>
      <c r="E321" s="1">
        <f t="shared" si="15"/>
        <v>14.630136986301352</v>
      </c>
      <c r="F321" s="55">
        <f>Table1[[#This Row],[Degrees Into Sign]]/30</f>
        <v>0.48767123287671171</v>
      </c>
    </row>
    <row r="322" spans="1:6" x14ac:dyDescent="0.25">
      <c r="A322" s="54">
        <v>43865</v>
      </c>
      <c r="B322" s="1">
        <v>320</v>
      </c>
      <c r="C322" s="1">
        <f t="shared" si="13"/>
        <v>315.61643835616439</v>
      </c>
      <c r="D322" s="1" t="s">
        <v>128</v>
      </c>
      <c r="E322" s="1">
        <f t="shared" si="15"/>
        <v>15.616438356164394</v>
      </c>
      <c r="F322" s="55">
        <f>Table1[[#This Row],[Degrees Into Sign]]/30</f>
        <v>0.52054794520547987</v>
      </c>
    </row>
    <row r="323" spans="1:6" x14ac:dyDescent="0.25">
      <c r="A323" s="54">
        <v>43866</v>
      </c>
      <c r="B323" s="1">
        <v>321</v>
      </c>
      <c r="C323" s="1">
        <f t="shared" ref="C323:C366" si="16">B323/365*360</f>
        <v>316.60273972602744</v>
      </c>
      <c r="D323" s="1" t="s">
        <v>128</v>
      </c>
      <c r="E323" s="1">
        <f t="shared" si="15"/>
        <v>16.602739726027437</v>
      </c>
      <c r="F323" s="55">
        <f>Table1[[#This Row],[Degrees Into Sign]]/30</f>
        <v>0.55342465753424785</v>
      </c>
    </row>
    <row r="324" spans="1:6" x14ac:dyDescent="0.25">
      <c r="A324" s="54">
        <v>43867</v>
      </c>
      <c r="B324" s="1">
        <v>322</v>
      </c>
      <c r="C324" s="1">
        <f t="shared" si="16"/>
        <v>317.58904109589042</v>
      </c>
      <c r="D324" s="1" t="s">
        <v>128</v>
      </c>
      <c r="E324" s="1">
        <f t="shared" si="15"/>
        <v>17.589041095890423</v>
      </c>
      <c r="F324" s="55">
        <f>Table1[[#This Row],[Degrees Into Sign]]/30</f>
        <v>0.58630136986301407</v>
      </c>
    </row>
    <row r="325" spans="1:6" x14ac:dyDescent="0.25">
      <c r="A325" s="54">
        <v>43868</v>
      </c>
      <c r="B325" s="1">
        <v>323</v>
      </c>
      <c r="C325" s="1">
        <f t="shared" si="16"/>
        <v>318.57534246575341</v>
      </c>
      <c r="D325" s="1" t="s">
        <v>128</v>
      </c>
      <c r="E325" s="1">
        <f t="shared" si="15"/>
        <v>18.575342465753408</v>
      </c>
      <c r="F325" s="55">
        <f>Table1[[#This Row],[Degrees Into Sign]]/30</f>
        <v>0.61917808219178028</v>
      </c>
    </row>
    <row r="326" spans="1:6" x14ac:dyDescent="0.25">
      <c r="A326" s="54">
        <v>43869</v>
      </c>
      <c r="B326" s="1">
        <v>324</v>
      </c>
      <c r="C326" s="1">
        <f t="shared" si="16"/>
        <v>319.56164383561645</v>
      </c>
      <c r="D326" s="1" t="s">
        <v>128</v>
      </c>
      <c r="E326" s="1">
        <f t="shared" si="15"/>
        <v>19.561643835616451</v>
      </c>
      <c r="F326" s="55">
        <f>Table1[[#This Row],[Degrees Into Sign]]/30</f>
        <v>0.65205479452054838</v>
      </c>
    </row>
    <row r="327" spans="1:6" x14ac:dyDescent="0.25">
      <c r="A327" s="54">
        <v>43870</v>
      </c>
      <c r="B327" s="1">
        <v>325</v>
      </c>
      <c r="C327" s="1">
        <f t="shared" si="16"/>
        <v>320.54794520547944</v>
      </c>
      <c r="D327" s="1" t="s">
        <v>128</v>
      </c>
      <c r="E327" s="1">
        <f t="shared" si="15"/>
        <v>20.547945205479436</v>
      </c>
      <c r="F327" s="55">
        <f>Table1[[#This Row],[Degrees Into Sign]]/30</f>
        <v>0.68493150684931459</v>
      </c>
    </row>
    <row r="328" spans="1:6" x14ac:dyDescent="0.25">
      <c r="A328" s="54">
        <v>43871</v>
      </c>
      <c r="B328" s="1">
        <v>326</v>
      </c>
      <c r="C328" s="1">
        <f t="shared" si="16"/>
        <v>321.53424657534248</v>
      </c>
      <c r="D328" s="1" t="s">
        <v>128</v>
      </c>
      <c r="E328" s="1">
        <f t="shared" si="15"/>
        <v>21.534246575342479</v>
      </c>
      <c r="F328" s="55">
        <f>Table1[[#This Row],[Degrees Into Sign]]/30</f>
        <v>0.71780821917808268</v>
      </c>
    </row>
    <row r="329" spans="1:6" x14ac:dyDescent="0.25">
      <c r="A329" s="54">
        <v>43872</v>
      </c>
      <c r="B329" s="1">
        <v>327</v>
      </c>
      <c r="C329" s="1">
        <f t="shared" si="16"/>
        <v>322.52054794520546</v>
      </c>
      <c r="D329" s="1" t="s">
        <v>128</v>
      </c>
      <c r="E329" s="1">
        <f t="shared" si="15"/>
        <v>22.520547945205465</v>
      </c>
      <c r="F329" s="55">
        <f>Table1[[#This Row],[Degrees Into Sign]]/30</f>
        <v>0.75068493150684878</v>
      </c>
    </row>
    <row r="330" spans="1:6" x14ac:dyDescent="0.25">
      <c r="A330" s="54">
        <v>43873</v>
      </c>
      <c r="B330" s="1">
        <v>328</v>
      </c>
      <c r="C330" s="1">
        <f t="shared" si="16"/>
        <v>323.50684931506851</v>
      </c>
      <c r="D330" s="1" t="s">
        <v>128</v>
      </c>
      <c r="E330" s="1">
        <f t="shared" si="15"/>
        <v>23.506849315068507</v>
      </c>
      <c r="F330" s="55">
        <f>Table1[[#This Row],[Degrees Into Sign]]/30</f>
        <v>0.78356164383561688</v>
      </c>
    </row>
    <row r="331" spans="1:6" x14ac:dyDescent="0.25">
      <c r="A331" s="54">
        <v>43874</v>
      </c>
      <c r="B331" s="1">
        <v>329</v>
      </c>
      <c r="C331" s="1">
        <f t="shared" si="16"/>
        <v>324.49315068493149</v>
      </c>
      <c r="D331" s="1" t="s">
        <v>128</v>
      </c>
      <c r="E331" s="1">
        <f t="shared" si="15"/>
        <v>24.493150684931493</v>
      </c>
      <c r="F331" s="55">
        <f>Table1[[#This Row],[Degrees Into Sign]]/30</f>
        <v>0.81643835616438309</v>
      </c>
    </row>
    <row r="332" spans="1:6" x14ac:dyDescent="0.25">
      <c r="A332" s="54">
        <v>43875</v>
      </c>
      <c r="B332" s="1">
        <v>330</v>
      </c>
      <c r="C332" s="1">
        <f t="shared" si="16"/>
        <v>325.47945205479448</v>
      </c>
      <c r="D332" s="1" t="s">
        <v>128</v>
      </c>
      <c r="E332" s="1">
        <f t="shared" si="15"/>
        <v>25.479452054794478</v>
      </c>
      <c r="F332" s="55">
        <f>Table1[[#This Row],[Degrees Into Sign]]/30</f>
        <v>0.84931506849314931</v>
      </c>
    </row>
    <row r="333" spans="1:6" x14ac:dyDescent="0.25">
      <c r="A333" s="54">
        <v>43876</v>
      </c>
      <c r="B333" s="1">
        <v>331</v>
      </c>
      <c r="C333" s="1">
        <f t="shared" si="16"/>
        <v>326.46575342465758</v>
      </c>
      <c r="D333" s="1" t="s">
        <v>128</v>
      </c>
      <c r="E333" s="1">
        <f t="shared" si="15"/>
        <v>26.465753424657578</v>
      </c>
      <c r="F333" s="55">
        <f>Table1[[#This Row],[Degrees Into Sign]]/30</f>
        <v>0.88219178082191929</v>
      </c>
    </row>
    <row r="334" spans="1:6" x14ac:dyDescent="0.25">
      <c r="A334" s="54">
        <v>43877</v>
      </c>
      <c r="B334" s="1">
        <v>332</v>
      </c>
      <c r="C334" s="1">
        <f t="shared" si="16"/>
        <v>327.45205479452056</v>
      </c>
      <c r="D334" s="1" t="s">
        <v>128</v>
      </c>
      <c r="E334" s="1">
        <f t="shared" si="15"/>
        <v>27.452054794520564</v>
      </c>
      <c r="F334" s="55">
        <f>Table1[[#This Row],[Degrees Into Sign]]/30</f>
        <v>0.9150684931506855</v>
      </c>
    </row>
    <row r="335" spans="1:6" x14ac:dyDescent="0.25">
      <c r="A335" s="54">
        <v>43878</v>
      </c>
      <c r="B335" s="1">
        <v>333</v>
      </c>
      <c r="C335" s="1">
        <f t="shared" si="16"/>
        <v>328.43835616438355</v>
      </c>
      <c r="D335" s="1" t="s">
        <v>128</v>
      </c>
      <c r="E335" s="1">
        <f t="shared" si="15"/>
        <v>28.438356164383549</v>
      </c>
      <c r="F335" s="55">
        <f>Table1[[#This Row],[Degrees Into Sign]]/30</f>
        <v>0.9479452054794516</v>
      </c>
    </row>
    <row r="336" spans="1:6" x14ac:dyDescent="0.25">
      <c r="A336" s="54">
        <v>43879</v>
      </c>
      <c r="B336" s="1">
        <v>334</v>
      </c>
      <c r="C336" s="1">
        <f t="shared" si="16"/>
        <v>329.42465753424659</v>
      </c>
      <c r="D336" s="1" t="s">
        <v>128</v>
      </c>
      <c r="E336" s="1">
        <f t="shared" si="15"/>
        <v>29.424657534246592</v>
      </c>
      <c r="F336" s="55">
        <f>Table1[[#This Row],[Degrees Into Sign]]/30</f>
        <v>0.9808219178082197</v>
      </c>
    </row>
    <row r="337" spans="1:6" x14ac:dyDescent="0.25">
      <c r="A337" s="54">
        <v>43880</v>
      </c>
      <c r="B337" s="1">
        <v>335</v>
      </c>
      <c r="C337" s="1">
        <f t="shared" si="16"/>
        <v>330.41095890410958</v>
      </c>
      <c r="D337" s="1" t="s">
        <v>129</v>
      </c>
      <c r="E337" s="1">
        <f>C337-330</f>
        <v>0.41095890410957736</v>
      </c>
      <c r="F337" s="55">
        <f>Table1[[#This Row],[Degrees Into Sign]]/30</f>
        <v>1.3698630136985912E-2</v>
      </c>
    </row>
    <row r="338" spans="1:6" x14ac:dyDescent="0.25">
      <c r="A338" s="54">
        <v>43881</v>
      </c>
      <c r="B338" s="1">
        <v>336</v>
      </c>
      <c r="C338" s="1">
        <f t="shared" si="16"/>
        <v>331.39726027397262</v>
      </c>
      <c r="D338" s="1" t="s">
        <v>129</v>
      </c>
      <c r="E338" s="1">
        <f t="shared" ref="E338:E366" si="17">C338-330</f>
        <v>1.3972602739726199</v>
      </c>
      <c r="F338" s="55">
        <f>Table1[[#This Row],[Degrees Into Sign]]/30</f>
        <v>4.6575342465753997E-2</v>
      </c>
    </row>
    <row r="339" spans="1:6" x14ac:dyDescent="0.25">
      <c r="A339" s="54">
        <v>43882</v>
      </c>
      <c r="B339" s="1">
        <v>337</v>
      </c>
      <c r="C339" s="1">
        <f t="shared" si="16"/>
        <v>332.38356164383561</v>
      </c>
      <c r="D339" s="1" t="s">
        <v>129</v>
      </c>
      <c r="E339" s="1">
        <f t="shared" si="17"/>
        <v>2.3835616438356055</v>
      </c>
      <c r="F339" s="55">
        <f>Table1[[#This Row],[Degrees Into Sign]]/30</f>
        <v>7.945205479452018E-2</v>
      </c>
    </row>
    <row r="340" spans="1:6" x14ac:dyDescent="0.25">
      <c r="A340" s="54">
        <v>43883</v>
      </c>
      <c r="B340" s="1">
        <v>338</v>
      </c>
      <c r="C340" s="1">
        <f t="shared" si="16"/>
        <v>333.36986301369859</v>
      </c>
      <c r="D340" s="1" t="s">
        <v>129</v>
      </c>
      <c r="E340" s="1">
        <f t="shared" si="17"/>
        <v>3.3698630136985912</v>
      </c>
      <c r="F340" s="55">
        <f>Table1[[#This Row],[Degrees Into Sign]]/30</f>
        <v>0.11232876712328638</v>
      </c>
    </row>
    <row r="341" spans="1:6" x14ac:dyDescent="0.25">
      <c r="A341" s="54">
        <v>43884</v>
      </c>
      <c r="B341" s="1">
        <v>339</v>
      </c>
      <c r="C341" s="1">
        <f t="shared" si="16"/>
        <v>334.35616438356163</v>
      </c>
      <c r="D341" s="1" t="s">
        <v>129</v>
      </c>
      <c r="E341" s="1">
        <f t="shared" si="17"/>
        <v>4.3561643835616337</v>
      </c>
      <c r="F341" s="55">
        <f>Table1[[#This Row],[Degrees Into Sign]]/30</f>
        <v>0.14520547945205445</v>
      </c>
    </row>
    <row r="342" spans="1:6" x14ac:dyDescent="0.25">
      <c r="A342" s="54">
        <v>43885</v>
      </c>
      <c r="B342" s="1">
        <v>340</v>
      </c>
      <c r="C342" s="1">
        <f t="shared" si="16"/>
        <v>335.34246575342462</v>
      </c>
      <c r="D342" s="1" t="s">
        <v>129</v>
      </c>
      <c r="E342" s="1">
        <f t="shared" si="17"/>
        <v>5.3424657534246194</v>
      </c>
      <c r="F342" s="55">
        <f>Table1[[#This Row],[Degrees Into Sign]]/30</f>
        <v>0.17808219178082066</v>
      </c>
    </row>
    <row r="343" spans="1:6" x14ac:dyDescent="0.25">
      <c r="A343" s="54">
        <v>43886</v>
      </c>
      <c r="B343" s="1">
        <v>341</v>
      </c>
      <c r="C343" s="1">
        <f t="shared" si="16"/>
        <v>336.32876712328766</v>
      </c>
      <c r="D343" s="1" t="s">
        <v>129</v>
      </c>
      <c r="E343" s="1">
        <f t="shared" si="17"/>
        <v>6.3287671232876619</v>
      </c>
      <c r="F343" s="55">
        <f>Table1[[#This Row],[Degrees Into Sign]]/30</f>
        <v>0.21095890410958873</v>
      </c>
    </row>
    <row r="344" spans="1:6" x14ac:dyDescent="0.25">
      <c r="A344" s="54">
        <v>43887</v>
      </c>
      <c r="B344" s="1">
        <v>342</v>
      </c>
      <c r="C344" s="1">
        <f t="shared" si="16"/>
        <v>337.3150684931507</v>
      </c>
      <c r="D344" s="1" t="s">
        <v>129</v>
      </c>
      <c r="E344" s="1">
        <f t="shared" si="17"/>
        <v>7.3150684931507044</v>
      </c>
      <c r="F344" s="55">
        <f>Table1[[#This Row],[Degrees Into Sign]]/30</f>
        <v>0.2438356164383568</v>
      </c>
    </row>
    <row r="345" spans="1:6" x14ac:dyDescent="0.25">
      <c r="A345" s="54">
        <v>43888</v>
      </c>
      <c r="B345" s="1">
        <v>343</v>
      </c>
      <c r="C345" s="1">
        <f t="shared" si="16"/>
        <v>338.30136986301369</v>
      </c>
      <c r="D345" s="1" t="s">
        <v>129</v>
      </c>
      <c r="E345" s="1">
        <f t="shared" si="17"/>
        <v>8.3013698630136901</v>
      </c>
      <c r="F345" s="55">
        <f>Table1[[#This Row],[Degrees Into Sign]]/30</f>
        <v>0.27671232876712298</v>
      </c>
    </row>
    <row r="346" spans="1:6" x14ac:dyDescent="0.25">
      <c r="A346" s="54">
        <v>43889</v>
      </c>
      <c r="B346" s="1">
        <v>344</v>
      </c>
      <c r="C346" s="1">
        <f t="shared" si="16"/>
        <v>339.28767123287673</v>
      </c>
      <c r="D346" s="1" t="s">
        <v>129</v>
      </c>
      <c r="E346" s="1">
        <f t="shared" si="17"/>
        <v>9.2876712328767326</v>
      </c>
      <c r="F346" s="55">
        <f>Table1[[#This Row],[Degrees Into Sign]]/30</f>
        <v>0.30958904109589108</v>
      </c>
    </row>
    <row r="347" spans="1:6" x14ac:dyDescent="0.25">
      <c r="A347" s="54">
        <v>43891</v>
      </c>
      <c r="B347" s="1">
        <v>345</v>
      </c>
      <c r="C347" s="1">
        <f t="shared" si="16"/>
        <v>340.27397260273972</v>
      </c>
      <c r="D347" s="1" t="s">
        <v>129</v>
      </c>
      <c r="E347" s="1">
        <f t="shared" si="17"/>
        <v>10.273972602739718</v>
      </c>
      <c r="F347" s="55">
        <f>Table1[[#This Row],[Degrees Into Sign]]/30</f>
        <v>0.34246575342465729</v>
      </c>
    </row>
    <row r="348" spans="1:6" x14ac:dyDescent="0.25">
      <c r="A348" s="54">
        <v>43892</v>
      </c>
      <c r="B348" s="1">
        <v>346</v>
      </c>
      <c r="C348" s="1">
        <f t="shared" si="16"/>
        <v>341.26027397260276</v>
      </c>
      <c r="D348" s="1" t="s">
        <v>129</v>
      </c>
      <c r="E348" s="1">
        <f t="shared" si="17"/>
        <v>11.260273972602761</v>
      </c>
      <c r="F348" s="55">
        <f>Table1[[#This Row],[Degrees Into Sign]]/30</f>
        <v>0.37534246575342534</v>
      </c>
    </row>
    <row r="349" spans="1:6" x14ac:dyDescent="0.25">
      <c r="A349" s="54">
        <v>43893</v>
      </c>
      <c r="B349" s="1">
        <v>347</v>
      </c>
      <c r="C349" s="1">
        <f t="shared" si="16"/>
        <v>342.24657534246575</v>
      </c>
      <c r="D349" s="1" t="s">
        <v>129</v>
      </c>
      <c r="E349" s="1">
        <f t="shared" si="17"/>
        <v>12.246575342465746</v>
      </c>
      <c r="F349" s="55">
        <f>Table1[[#This Row],[Degrees Into Sign]]/30</f>
        <v>0.40821917808219155</v>
      </c>
    </row>
    <row r="350" spans="1:6" x14ac:dyDescent="0.25">
      <c r="A350" s="54">
        <v>43894</v>
      </c>
      <c r="B350" s="1">
        <v>348</v>
      </c>
      <c r="C350" s="1">
        <f t="shared" si="16"/>
        <v>343.23287671232873</v>
      </c>
      <c r="D350" s="1" t="s">
        <v>129</v>
      </c>
      <c r="E350" s="1">
        <f t="shared" si="17"/>
        <v>13.232876712328732</v>
      </c>
      <c r="F350" s="55">
        <f>Table1[[#This Row],[Degrees Into Sign]]/30</f>
        <v>0.44109589041095776</v>
      </c>
    </row>
    <row r="351" spans="1:6" x14ac:dyDescent="0.25">
      <c r="A351" s="54">
        <v>43895</v>
      </c>
      <c r="B351" s="1">
        <v>349</v>
      </c>
      <c r="C351" s="1">
        <f t="shared" si="16"/>
        <v>344.21917808219177</v>
      </c>
      <c r="D351" s="1" t="s">
        <v>129</v>
      </c>
      <c r="E351" s="1">
        <f t="shared" si="17"/>
        <v>14.219178082191775</v>
      </c>
      <c r="F351" s="55">
        <f>Table1[[#This Row],[Degrees Into Sign]]/30</f>
        <v>0.4739726027397258</v>
      </c>
    </row>
    <row r="352" spans="1:6" x14ac:dyDescent="0.25">
      <c r="A352" s="54">
        <v>43896</v>
      </c>
      <c r="B352" s="1">
        <v>350</v>
      </c>
      <c r="C352" s="1">
        <f t="shared" si="16"/>
        <v>345.20547945205476</v>
      </c>
      <c r="D352" s="1" t="s">
        <v>129</v>
      </c>
      <c r="E352" s="1">
        <f t="shared" si="17"/>
        <v>15.20547945205476</v>
      </c>
      <c r="F352" s="55">
        <f>Table1[[#This Row],[Degrees Into Sign]]/30</f>
        <v>0.50684931506849196</v>
      </c>
    </row>
    <row r="353" spans="1:6" x14ac:dyDescent="0.25">
      <c r="A353" s="54">
        <v>43897</v>
      </c>
      <c r="B353" s="1">
        <v>351</v>
      </c>
      <c r="C353" s="1">
        <f t="shared" si="16"/>
        <v>346.1917808219178</v>
      </c>
      <c r="D353" s="1" t="s">
        <v>129</v>
      </c>
      <c r="E353" s="1">
        <f t="shared" si="17"/>
        <v>16.191780821917803</v>
      </c>
      <c r="F353" s="55">
        <f>Table1[[#This Row],[Degrees Into Sign]]/30</f>
        <v>0.53972602739726006</v>
      </c>
    </row>
    <row r="354" spans="1:6" x14ac:dyDescent="0.25">
      <c r="A354" s="54">
        <v>43898</v>
      </c>
      <c r="B354" s="1">
        <v>352</v>
      </c>
      <c r="C354" s="1">
        <f t="shared" si="16"/>
        <v>347.17808219178085</v>
      </c>
      <c r="D354" s="1" t="s">
        <v>129</v>
      </c>
      <c r="E354" s="1">
        <f t="shared" si="17"/>
        <v>17.178082191780845</v>
      </c>
      <c r="F354" s="55">
        <f>Table1[[#This Row],[Degrees Into Sign]]/30</f>
        <v>0.57260273972602815</v>
      </c>
    </row>
    <row r="355" spans="1:6" x14ac:dyDescent="0.25">
      <c r="A355" s="54">
        <v>43899</v>
      </c>
      <c r="B355" s="1">
        <v>353</v>
      </c>
      <c r="C355" s="1">
        <f t="shared" si="16"/>
        <v>348.16438356164383</v>
      </c>
      <c r="D355" s="1" t="s">
        <v>129</v>
      </c>
      <c r="E355" s="1">
        <f t="shared" si="17"/>
        <v>18.164383561643831</v>
      </c>
      <c r="F355" s="55">
        <f>Table1[[#This Row],[Degrees Into Sign]]/30</f>
        <v>0.60547945205479436</v>
      </c>
    </row>
    <row r="356" spans="1:6" x14ac:dyDescent="0.25">
      <c r="A356" s="54">
        <v>43900</v>
      </c>
      <c r="B356" s="1">
        <v>354</v>
      </c>
      <c r="C356" s="1">
        <f t="shared" si="16"/>
        <v>349.15068493150687</v>
      </c>
      <c r="D356" s="1" t="s">
        <v>129</v>
      </c>
      <c r="E356" s="1">
        <f t="shared" si="17"/>
        <v>19.150684931506873</v>
      </c>
      <c r="F356" s="55">
        <f>Table1[[#This Row],[Degrees Into Sign]]/30</f>
        <v>0.63835616438356246</v>
      </c>
    </row>
    <row r="357" spans="1:6" x14ac:dyDescent="0.25">
      <c r="A357" s="54">
        <v>43901</v>
      </c>
      <c r="B357" s="1">
        <v>355</v>
      </c>
      <c r="C357" s="1">
        <f t="shared" si="16"/>
        <v>350.13698630136986</v>
      </c>
      <c r="D357" s="1" t="s">
        <v>129</v>
      </c>
      <c r="E357" s="1">
        <f t="shared" si="17"/>
        <v>20.136986301369859</v>
      </c>
      <c r="F357" s="55">
        <f>Table1[[#This Row],[Degrees Into Sign]]/30</f>
        <v>0.67123287671232867</v>
      </c>
    </row>
    <row r="358" spans="1:6" x14ac:dyDescent="0.25">
      <c r="A358" s="54">
        <v>43902</v>
      </c>
      <c r="B358" s="1">
        <v>356</v>
      </c>
      <c r="C358" s="1">
        <f t="shared" si="16"/>
        <v>351.1232876712329</v>
      </c>
      <c r="D358" s="1" t="s">
        <v>129</v>
      </c>
      <c r="E358" s="1">
        <f t="shared" si="17"/>
        <v>21.123287671232902</v>
      </c>
      <c r="F358" s="55">
        <f>Table1[[#This Row],[Degrees Into Sign]]/30</f>
        <v>0.70410958904109677</v>
      </c>
    </row>
    <row r="359" spans="1:6" x14ac:dyDescent="0.25">
      <c r="A359" s="54">
        <v>43903</v>
      </c>
      <c r="B359" s="1">
        <v>357</v>
      </c>
      <c r="C359" s="1">
        <f t="shared" si="16"/>
        <v>352.10958904109589</v>
      </c>
      <c r="D359" s="1" t="s">
        <v>129</v>
      </c>
      <c r="E359" s="1">
        <f t="shared" si="17"/>
        <v>22.109589041095887</v>
      </c>
      <c r="F359" s="55">
        <f>Table1[[#This Row],[Degrees Into Sign]]/30</f>
        <v>0.73698630136986287</v>
      </c>
    </row>
    <row r="360" spans="1:6" x14ac:dyDescent="0.25">
      <c r="A360" s="54">
        <v>43904</v>
      </c>
      <c r="B360" s="1">
        <v>358</v>
      </c>
      <c r="C360" s="1">
        <f t="shared" si="16"/>
        <v>353.09589041095887</v>
      </c>
      <c r="D360" s="1" t="s">
        <v>129</v>
      </c>
      <c r="E360" s="1">
        <f t="shared" si="17"/>
        <v>23.095890410958873</v>
      </c>
      <c r="F360" s="55">
        <f>Table1[[#This Row],[Degrees Into Sign]]/30</f>
        <v>0.76986301369862908</v>
      </c>
    </row>
    <row r="361" spans="1:6" x14ac:dyDescent="0.25">
      <c r="A361" s="54">
        <v>43905</v>
      </c>
      <c r="B361" s="1">
        <v>359</v>
      </c>
      <c r="C361" s="1">
        <f t="shared" si="16"/>
        <v>354.08219178082192</v>
      </c>
      <c r="D361" s="1" t="s">
        <v>129</v>
      </c>
      <c r="E361" s="1">
        <f t="shared" si="17"/>
        <v>24.082191780821915</v>
      </c>
      <c r="F361" s="55">
        <f>Table1[[#This Row],[Degrees Into Sign]]/30</f>
        <v>0.80273972602739718</v>
      </c>
    </row>
    <row r="362" spans="1:6" x14ac:dyDescent="0.25">
      <c r="A362" s="54">
        <v>43906</v>
      </c>
      <c r="B362" s="1">
        <v>360</v>
      </c>
      <c r="C362" s="1">
        <f t="shared" si="16"/>
        <v>355.0684931506849</v>
      </c>
      <c r="D362" s="1" t="s">
        <v>129</v>
      </c>
      <c r="E362" s="1">
        <f t="shared" si="17"/>
        <v>25.068493150684901</v>
      </c>
      <c r="F362" s="55">
        <f>Table1[[#This Row],[Degrees Into Sign]]/30</f>
        <v>0.83561643835616339</v>
      </c>
    </row>
    <row r="363" spans="1:6" x14ac:dyDescent="0.25">
      <c r="A363" s="54">
        <v>43907</v>
      </c>
      <c r="B363" s="1">
        <v>361</v>
      </c>
      <c r="C363" s="1">
        <f t="shared" si="16"/>
        <v>356.05479452054794</v>
      </c>
      <c r="D363" s="1" t="s">
        <v>129</v>
      </c>
      <c r="E363" s="1">
        <f t="shared" si="17"/>
        <v>26.054794520547944</v>
      </c>
      <c r="F363" s="55">
        <f>Table1[[#This Row],[Degrees Into Sign]]/30</f>
        <v>0.86849315068493149</v>
      </c>
    </row>
    <row r="364" spans="1:6" x14ac:dyDescent="0.25">
      <c r="A364" s="54">
        <v>43908</v>
      </c>
      <c r="B364" s="1">
        <v>362</v>
      </c>
      <c r="C364" s="1">
        <f t="shared" si="16"/>
        <v>357.04109589041099</v>
      </c>
      <c r="D364" s="1" t="s">
        <v>129</v>
      </c>
      <c r="E364" s="1">
        <f t="shared" si="17"/>
        <v>27.041095890410986</v>
      </c>
      <c r="F364" s="55">
        <f>Table1[[#This Row],[Degrees Into Sign]]/30</f>
        <v>0.90136986301369959</v>
      </c>
    </row>
    <row r="365" spans="1:6" x14ac:dyDescent="0.25">
      <c r="A365" s="54">
        <v>43909</v>
      </c>
      <c r="B365" s="1">
        <v>363</v>
      </c>
      <c r="C365" s="1">
        <f t="shared" si="16"/>
        <v>358.02739726027397</v>
      </c>
      <c r="D365" s="1" t="s">
        <v>129</v>
      </c>
      <c r="E365" s="1">
        <f t="shared" si="17"/>
        <v>28.027397260273972</v>
      </c>
      <c r="F365" s="55">
        <f>Table1[[#This Row],[Degrees Into Sign]]/30</f>
        <v>0.93424657534246569</v>
      </c>
    </row>
    <row r="366" spans="1:6" x14ac:dyDescent="0.25">
      <c r="A366" s="54">
        <v>43910</v>
      </c>
      <c r="B366" s="1">
        <v>364</v>
      </c>
      <c r="C366" s="1">
        <f t="shared" si="16"/>
        <v>359.01369863013701</v>
      </c>
      <c r="D366" s="1" t="s">
        <v>129</v>
      </c>
      <c r="E366" s="1">
        <f t="shared" si="17"/>
        <v>29.013698630137014</v>
      </c>
      <c r="F366" s="55">
        <f>Table1[[#This Row],[Degrees Into Sign]]/30</f>
        <v>0.96712328767123379</v>
      </c>
    </row>
  </sheetData>
  <sheetProtection algorithmName="SHA-512" hashValue="GJ37kU+Qzg0Bal7u0R0+J7qmhLjuTxBo/gJrb6mfc3WPpvYT7xlZmKQ0hcDUqsQHEp97bAh2K2lXz0Zlxs5sYg==" saltValue="xLQjOG/giWDdOxEvUT2LSA==" spinCount="100000"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81FF-B904-4DE1-8F42-C099019FB6D3}">
  <dimension ref="A1:B33"/>
  <sheetViews>
    <sheetView workbookViewId="0"/>
  </sheetViews>
  <sheetFormatPr defaultRowHeight="15" x14ac:dyDescent="0.25"/>
  <cols>
    <col min="1" max="1" width="10.5703125" style="6" bestFit="1" customWidth="1"/>
    <col min="2" max="2" width="7.42578125" style="6" bestFit="1" customWidth="1"/>
  </cols>
  <sheetData>
    <row r="1" spans="1:2" x14ac:dyDescent="0.25">
      <c r="A1" s="6" t="s">
        <v>0</v>
      </c>
      <c r="B1" s="6" t="s">
        <v>277</v>
      </c>
    </row>
    <row r="2" spans="1:2" x14ac:dyDescent="0.25">
      <c r="A2" s="6">
        <v>0</v>
      </c>
      <c r="B2" s="6">
        <v>12</v>
      </c>
    </row>
    <row r="3" spans="1:2" x14ac:dyDescent="0.25">
      <c r="A3" s="6">
        <v>4.5</v>
      </c>
      <c r="B3" s="6">
        <v>12.25</v>
      </c>
    </row>
    <row r="4" spans="1:2" x14ac:dyDescent="0.25">
      <c r="A4" s="6">
        <f>8+25/60</f>
        <v>8.4166666666666661</v>
      </c>
      <c r="B4" s="6">
        <v>12.5</v>
      </c>
    </row>
    <row r="5" spans="1:2" x14ac:dyDescent="0.25">
      <c r="A5" s="6">
        <v>12.5</v>
      </c>
      <c r="B5" s="6">
        <v>12.75</v>
      </c>
    </row>
    <row r="6" spans="1:2" x14ac:dyDescent="0.25">
      <c r="A6" s="6">
        <f>16+27/60</f>
        <v>16.45</v>
      </c>
      <c r="B6" s="6">
        <v>13</v>
      </c>
    </row>
    <row r="7" spans="1:2" x14ac:dyDescent="0.25">
      <c r="A7" s="6">
        <f>20+14/60</f>
        <v>20.233333333333334</v>
      </c>
      <c r="B7" s="6">
        <v>13.25</v>
      </c>
    </row>
    <row r="8" spans="1:2" x14ac:dyDescent="0.25">
      <c r="A8" s="6">
        <f>23+51/60</f>
        <v>23.85</v>
      </c>
      <c r="B8" s="6">
        <v>13.5</v>
      </c>
    </row>
    <row r="9" spans="1:2" x14ac:dyDescent="0.25">
      <c r="A9" s="6">
        <f>27+12/60</f>
        <v>27.2</v>
      </c>
      <c r="B9" s="6">
        <v>13.75</v>
      </c>
    </row>
    <row r="10" spans="1:2" x14ac:dyDescent="0.25">
      <c r="A10" s="6">
        <f>30+22/60</f>
        <v>30.366666666666667</v>
      </c>
      <c r="B10" s="6">
        <v>14</v>
      </c>
    </row>
    <row r="11" spans="1:2" x14ac:dyDescent="0.25">
      <c r="A11" s="6">
        <f>33+18/60</f>
        <v>33.299999999999997</v>
      </c>
      <c r="B11" s="6">
        <v>14.25</v>
      </c>
    </row>
    <row r="12" spans="1:2" x14ac:dyDescent="0.25">
      <c r="A12" s="6">
        <v>36</v>
      </c>
      <c r="B12" s="6">
        <v>14.5</v>
      </c>
    </row>
    <row r="13" spans="1:2" x14ac:dyDescent="0.25">
      <c r="A13" s="6">
        <f>38+35/60</f>
        <v>38.583333333333336</v>
      </c>
      <c r="B13" s="6">
        <v>14.75</v>
      </c>
    </row>
    <row r="14" spans="1:2" x14ac:dyDescent="0.25">
      <c r="A14" s="6">
        <f>40+56/60</f>
        <v>40.93333333333333</v>
      </c>
      <c r="B14" s="6">
        <v>15</v>
      </c>
    </row>
    <row r="15" spans="1:2" x14ac:dyDescent="0.25">
      <c r="A15" s="6">
        <f>43+1/60</f>
        <v>43.016666666666666</v>
      </c>
      <c r="B15" s="6">
        <v>15.25</v>
      </c>
    </row>
    <row r="16" spans="1:2" x14ac:dyDescent="0.25">
      <c r="A16" s="6">
        <f>45+1/60</f>
        <v>45.016666666666666</v>
      </c>
      <c r="B16" s="6">
        <v>15.5</v>
      </c>
    </row>
    <row r="17" spans="1:2" x14ac:dyDescent="0.25">
      <c r="A17" s="6">
        <f>46+51/60</f>
        <v>46.85</v>
      </c>
      <c r="B17" s="6">
        <v>15.75</v>
      </c>
    </row>
    <row r="18" spans="1:2" x14ac:dyDescent="0.25">
      <c r="A18" s="6">
        <f>48+32/60</f>
        <v>48.533333333333331</v>
      </c>
      <c r="B18" s="6">
        <v>16</v>
      </c>
    </row>
    <row r="19" spans="1:2" x14ac:dyDescent="0.25">
      <c r="A19" s="6">
        <f>50+4/60</f>
        <v>50.06666666666667</v>
      </c>
      <c r="B19" s="6">
        <v>16.25</v>
      </c>
    </row>
    <row r="20" spans="1:2" x14ac:dyDescent="0.25">
      <c r="A20" s="6">
        <f>51.5</f>
        <v>51.5</v>
      </c>
      <c r="B20" s="6">
        <v>16.5</v>
      </c>
    </row>
    <row r="21" spans="1:2" x14ac:dyDescent="0.25">
      <c r="A21" s="6">
        <f>52+50/60</f>
        <v>52.833333333333336</v>
      </c>
      <c r="B21" s="6">
        <v>16.75</v>
      </c>
    </row>
    <row r="22" spans="1:2" x14ac:dyDescent="0.25">
      <c r="A22" s="6">
        <f>54+1/60</f>
        <v>54.016666666666666</v>
      </c>
      <c r="B22" s="6">
        <v>17</v>
      </c>
    </row>
    <row r="23" spans="1:2" x14ac:dyDescent="0.25">
      <c r="A23" s="6">
        <v>55</v>
      </c>
      <c r="B23" s="6">
        <v>17.25</v>
      </c>
    </row>
    <row r="24" spans="1:2" x14ac:dyDescent="0.25">
      <c r="A24" s="6">
        <v>56</v>
      </c>
      <c r="B24" s="6">
        <v>17.5</v>
      </c>
    </row>
    <row r="25" spans="1:2" x14ac:dyDescent="0.25">
      <c r="A25" s="6">
        <v>57</v>
      </c>
      <c r="B25" s="6">
        <v>17.75</v>
      </c>
    </row>
    <row r="26" spans="1:2" x14ac:dyDescent="0.25">
      <c r="A26" s="6">
        <v>58</v>
      </c>
      <c r="B26" s="6">
        <v>18</v>
      </c>
    </row>
    <row r="27" spans="1:2" x14ac:dyDescent="0.25">
      <c r="A27" s="6">
        <v>59.5</v>
      </c>
      <c r="B27" s="6">
        <v>18.5</v>
      </c>
    </row>
    <row r="28" spans="1:2" x14ac:dyDescent="0.25">
      <c r="A28" s="6">
        <v>61</v>
      </c>
      <c r="B28" s="6">
        <v>19</v>
      </c>
    </row>
    <row r="29" spans="1:2" x14ac:dyDescent="0.25">
      <c r="A29" s="6">
        <v>62</v>
      </c>
      <c r="B29" s="6">
        <v>19.5</v>
      </c>
    </row>
    <row r="30" spans="1:2" x14ac:dyDescent="0.25">
      <c r="A30" s="6">
        <v>63</v>
      </c>
      <c r="B30" s="6">
        <v>20</v>
      </c>
    </row>
    <row r="31" spans="1:2" x14ac:dyDescent="0.25">
      <c r="A31" s="6">
        <v>64.5</v>
      </c>
      <c r="B31" s="6">
        <v>21</v>
      </c>
    </row>
    <row r="32" spans="1:2" x14ac:dyDescent="0.25">
      <c r="A32" s="6">
        <v>66</v>
      </c>
      <c r="B32" s="6">
        <v>23</v>
      </c>
    </row>
    <row r="33" spans="1:2" x14ac:dyDescent="0.25">
      <c r="A33" s="6">
        <f>66+8/60+40/3600</f>
        <v>66.144444444444446</v>
      </c>
      <c r="B33" s="6">
        <v>24</v>
      </c>
    </row>
  </sheetData>
  <sheetProtection algorithmName="SHA-512" hashValue="UIDiVB6gOdQlRS9sJ86mukNp+cdrsh/RmpqEEwRIoQ1kYka5/4cAZuYN+2gezTfWJeUMLfsG0u6xRaYP69YuOQ==" saltValue="x7V9pVZAL3By5qmaSeUTvw==" spinCount="100000" sheet="1" objects="1" scenarios="1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D5FD-7B4E-44EB-9EEA-F64C744D19B3}">
  <dimension ref="A1:X39"/>
  <sheetViews>
    <sheetView workbookViewId="0">
      <selection activeCell="A3" sqref="A3"/>
    </sheetView>
  </sheetViews>
  <sheetFormatPr defaultRowHeight="15" x14ac:dyDescent="0.25"/>
  <cols>
    <col min="19" max="19" width="10.28515625" customWidth="1"/>
    <col min="20" max="20" width="11.85546875" customWidth="1"/>
    <col min="21" max="21" width="10.7109375" customWidth="1"/>
    <col min="22" max="22" width="11.5703125" customWidth="1"/>
  </cols>
  <sheetData>
    <row r="1" spans="1:24" x14ac:dyDescent="0.25">
      <c r="A1" s="23"/>
      <c r="B1" s="17"/>
      <c r="C1" s="46" t="s">
        <v>280</v>
      </c>
      <c r="D1" s="47"/>
      <c r="E1" s="48" t="s">
        <v>281</v>
      </c>
      <c r="F1" s="49"/>
      <c r="G1" s="48" t="s">
        <v>282</v>
      </c>
      <c r="H1" s="50"/>
      <c r="I1" s="51" t="s">
        <v>418</v>
      </c>
      <c r="J1" s="50"/>
      <c r="K1" s="51" t="s">
        <v>419</v>
      </c>
      <c r="L1" s="50"/>
      <c r="M1" s="51" t="s">
        <v>153</v>
      </c>
      <c r="N1" s="50"/>
      <c r="O1" s="51" t="s">
        <v>154</v>
      </c>
      <c r="P1" s="50"/>
      <c r="Q1" s="51" t="s">
        <v>570</v>
      </c>
      <c r="R1" s="50"/>
      <c r="S1" s="51" t="s">
        <v>571</v>
      </c>
      <c r="T1" s="49"/>
      <c r="U1" s="48" t="s">
        <v>276</v>
      </c>
      <c r="V1" s="50"/>
      <c r="W1" s="51" t="s">
        <v>171</v>
      </c>
      <c r="X1" s="50"/>
    </row>
    <row r="2" spans="1:24" x14ac:dyDescent="0.25">
      <c r="A2" s="22"/>
      <c r="C2" s="34" t="s">
        <v>283</v>
      </c>
      <c r="D2" s="35" t="s">
        <v>284</v>
      </c>
      <c r="E2" s="33" t="s">
        <v>285</v>
      </c>
      <c r="F2" s="33" t="s">
        <v>286</v>
      </c>
      <c r="G2" s="34" t="s">
        <v>287</v>
      </c>
      <c r="H2" s="36" t="s">
        <v>288</v>
      </c>
      <c r="I2" s="34" t="s">
        <v>420</v>
      </c>
      <c r="J2" s="33" t="s">
        <v>421</v>
      </c>
      <c r="K2" s="34" t="s">
        <v>422</v>
      </c>
      <c r="L2" s="33" t="s">
        <v>423</v>
      </c>
      <c r="M2" s="34" t="s">
        <v>424</v>
      </c>
      <c r="N2" s="36" t="s">
        <v>425</v>
      </c>
      <c r="O2" s="34" t="s">
        <v>572</v>
      </c>
      <c r="P2" s="36" t="s">
        <v>573</v>
      </c>
      <c r="Q2" s="33" t="s">
        <v>574</v>
      </c>
      <c r="R2" s="36" t="s">
        <v>575</v>
      </c>
      <c r="S2" s="33" t="s">
        <v>576</v>
      </c>
      <c r="T2" s="36" t="s">
        <v>577</v>
      </c>
      <c r="U2" s="34" t="s">
        <v>275</v>
      </c>
      <c r="V2" s="36" t="s">
        <v>172</v>
      </c>
      <c r="W2" s="33" t="s">
        <v>173</v>
      </c>
      <c r="X2" s="36" t="s">
        <v>174</v>
      </c>
    </row>
    <row r="3" spans="1:24" ht="15.75" thickBot="1" x14ac:dyDescent="0.3">
      <c r="A3" s="18" t="s">
        <v>1</v>
      </c>
      <c r="B3" s="19" t="s">
        <v>161</v>
      </c>
      <c r="C3" s="37" t="s">
        <v>2</v>
      </c>
      <c r="D3" s="38" t="s">
        <v>3</v>
      </c>
      <c r="E3" s="19" t="s">
        <v>2</v>
      </c>
      <c r="F3" s="19" t="s">
        <v>3</v>
      </c>
      <c r="G3" s="37" t="s">
        <v>2</v>
      </c>
      <c r="H3" s="39" t="s">
        <v>3</v>
      </c>
      <c r="I3" s="37" t="s">
        <v>2</v>
      </c>
      <c r="J3" s="19" t="s">
        <v>3</v>
      </c>
      <c r="K3" s="37" t="s">
        <v>2</v>
      </c>
      <c r="L3" s="19" t="s">
        <v>3</v>
      </c>
      <c r="M3" s="37" t="s">
        <v>2</v>
      </c>
      <c r="N3" s="39" t="s">
        <v>3</v>
      </c>
      <c r="O3" s="37" t="s">
        <v>2</v>
      </c>
      <c r="P3" s="39" t="s">
        <v>3</v>
      </c>
      <c r="Q3" s="19" t="s">
        <v>2</v>
      </c>
      <c r="R3" s="39" t="s">
        <v>3</v>
      </c>
      <c r="S3" s="19" t="s">
        <v>2</v>
      </c>
      <c r="T3" s="39" t="s">
        <v>3</v>
      </c>
      <c r="U3" s="37" t="s">
        <v>2</v>
      </c>
      <c r="V3" s="39" t="s">
        <v>3</v>
      </c>
      <c r="W3" s="33" t="s">
        <v>2</v>
      </c>
      <c r="X3" s="36" t="s">
        <v>3</v>
      </c>
    </row>
    <row r="4" spans="1:24" x14ac:dyDescent="0.25">
      <c r="A4" s="31" t="s">
        <v>9</v>
      </c>
      <c r="B4" s="20" t="s">
        <v>161</v>
      </c>
      <c r="C4" s="40" t="s">
        <v>142</v>
      </c>
      <c r="D4" s="41" t="s">
        <v>142</v>
      </c>
      <c r="E4" s="20" t="s">
        <v>289</v>
      </c>
      <c r="F4" s="20" t="s">
        <v>289</v>
      </c>
      <c r="G4" s="40" t="s">
        <v>290</v>
      </c>
      <c r="H4" s="42" t="s">
        <v>290</v>
      </c>
      <c r="I4" s="40" t="s">
        <v>426</v>
      </c>
      <c r="J4" s="20" t="s">
        <v>426</v>
      </c>
      <c r="K4" s="40" t="s">
        <v>427</v>
      </c>
      <c r="L4" s="20" t="s">
        <v>427</v>
      </c>
      <c r="M4" s="40" t="s">
        <v>428</v>
      </c>
      <c r="N4" s="42" t="s">
        <v>428</v>
      </c>
      <c r="O4" s="40" t="s">
        <v>578</v>
      </c>
      <c r="P4" s="42" t="s">
        <v>578</v>
      </c>
      <c r="Q4" s="20" t="s">
        <v>579</v>
      </c>
      <c r="R4" s="42" t="s">
        <v>579</v>
      </c>
      <c r="S4" s="20" t="s">
        <v>580</v>
      </c>
      <c r="T4" s="42" t="s">
        <v>580</v>
      </c>
      <c r="U4" s="40" t="s">
        <v>175</v>
      </c>
      <c r="V4" s="42" t="s">
        <v>175</v>
      </c>
      <c r="W4" s="52" t="s">
        <v>176</v>
      </c>
      <c r="X4" s="53" t="s">
        <v>176</v>
      </c>
    </row>
    <row r="5" spans="1:24" x14ac:dyDescent="0.25">
      <c r="A5" s="29"/>
      <c r="B5" s="20" t="s">
        <v>162</v>
      </c>
      <c r="C5" s="40" t="s">
        <v>143</v>
      </c>
      <c r="D5" s="41" t="s">
        <v>291</v>
      </c>
      <c r="E5" s="20" t="s">
        <v>292</v>
      </c>
      <c r="F5" s="20" t="s">
        <v>293</v>
      </c>
      <c r="G5" s="40" t="s">
        <v>294</v>
      </c>
      <c r="H5" s="42" t="s">
        <v>295</v>
      </c>
      <c r="I5" s="40" t="s">
        <v>168</v>
      </c>
      <c r="J5" s="20" t="s">
        <v>169</v>
      </c>
      <c r="K5" s="40" t="s">
        <v>429</v>
      </c>
      <c r="L5" s="20" t="s">
        <v>430</v>
      </c>
      <c r="M5" s="40" t="s">
        <v>431</v>
      </c>
      <c r="N5" s="42" t="s">
        <v>432</v>
      </c>
      <c r="O5" s="40" t="s">
        <v>581</v>
      </c>
      <c r="P5" s="42" t="s">
        <v>582</v>
      </c>
      <c r="Q5" s="20" t="s">
        <v>583</v>
      </c>
      <c r="R5" s="42" t="s">
        <v>366</v>
      </c>
      <c r="S5" s="20" t="s">
        <v>584</v>
      </c>
      <c r="T5" s="42" t="s">
        <v>585</v>
      </c>
      <c r="U5" s="40" t="s">
        <v>177</v>
      </c>
      <c r="V5" s="42" t="s">
        <v>164</v>
      </c>
      <c r="W5" s="20" t="s">
        <v>178</v>
      </c>
      <c r="X5" s="42" t="s">
        <v>179</v>
      </c>
    </row>
    <row r="6" spans="1:24" ht="15.75" thickBot="1" x14ac:dyDescent="0.3">
      <c r="A6" s="30"/>
      <c r="B6" s="21" t="s">
        <v>163</v>
      </c>
      <c r="C6" s="43" t="s">
        <v>144</v>
      </c>
      <c r="D6" s="44" t="s">
        <v>296</v>
      </c>
      <c r="E6" s="21" t="s">
        <v>297</v>
      </c>
      <c r="F6" s="21" t="s">
        <v>298</v>
      </c>
      <c r="G6" s="43" t="s">
        <v>164</v>
      </c>
      <c r="H6" s="45" t="s">
        <v>299</v>
      </c>
      <c r="I6" s="43" t="s">
        <v>433</v>
      </c>
      <c r="J6" s="21" t="s">
        <v>434</v>
      </c>
      <c r="K6" s="43" t="s">
        <v>435</v>
      </c>
      <c r="L6" s="21" t="s">
        <v>436</v>
      </c>
      <c r="M6" s="43" t="s">
        <v>437</v>
      </c>
      <c r="N6" s="45" t="s">
        <v>438</v>
      </c>
      <c r="O6" s="43" t="s">
        <v>586</v>
      </c>
      <c r="P6" s="45" t="s">
        <v>587</v>
      </c>
      <c r="Q6" s="21" t="s">
        <v>588</v>
      </c>
      <c r="R6" s="45" t="s">
        <v>589</v>
      </c>
      <c r="S6" s="21" t="s">
        <v>590</v>
      </c>
      <c r="T6" s="45" t="s">
        <v>591</v>
      </c>
      <c r="U6" s="43" t="s">
        <v>180</v>
      </c>
      <c r="V6" s="45" t="s">
        <v>181</v>
      </c>
      <c r="W6" s="21" t="s">
        <v>182</v>
      </c>
      <c r="X6" s="45" t="s">
        <v>183</v>
      </c>
    </row>
    <row r="7" spans="1:24" x14ac:dyDescent="0.25">
      <c r="A7" s="28" t="s">
        <v>120</v>
      </c>
      <c r="B7" s="20" t="s">
        <v>161</v>
      </c>
      <c r="C7" s="40" t="s">
        <v>145</v>
      </c>
      <c r="D7" s="41" t="s">
        <v>300</v>
      </c>
      <c r="E7" s="20" t="s">
        <v>301</v>
      </c>
      <c r="F7" s="20" t="s">
        <v>302</v>
      </c>
      <c r="G7" s="40" t="s">
        <v>303</v>
      </c>
      <c r="H7" s="42" t="s">
        <v>304</v>
      </c>
      <c r="I7" s="40" t="s">
        <v>439</v>
      </c>
      <c r="J7" s="20" t="s">
        <v>440</v>
      </c>
      <c r="K7" s="40" t="s">
        <v>441</v>
      </c>
      <c r="L7" s="20" t="s">
        <v>442</v>
      </c>
      <c r="M7" s="40" t="s">
        <v>443</v>
      </c>
      <c r="N7" s="42" t="s">
        <v>444</v>
      </c>
      <c r="O7" s="40" t="s">
        <v>592</v>
      </c>
      <c r="P7" s="42" t="s">
        <v>593</v>
      </c>
      <c r="Q7" s="20" t="s">
        <v>594</v>
      </c>
      <c r="R7" s="42" t="s">
        <v>595</v>
      </c>
      <c r="S7" s="20" t="s">
        <v>596</v>
      </c>
      <c r="T7" s="42" t="s">
        <v>597</v>
      </c>
      <c r="U7" s="40" t="s">
        <v>184</v>
      </c>
      <c r="V7" s="42" t="s">
        <v>185</v>
      </c>
      <c r="W7" s="20" t="s">
        <v>186</v>
      </c>
      <c r="X7" s="42" t="s">
        <v>187</v>
      </c>
    </row>
    <row r="8" spans="1:24" x14ac:dyDescent="0.25">
      <c r="A8" s="29"/>
      <c r="B8" s="20" t="s">
        <v>162</v>
      </c>
      <c r="C8" s="40" t="s">
        <v>146</v>
      </c>
      <c r="D8" s="41" t="s">
        <v>305</v>
      </c>
      <c r="E8" s="20" t="s">
        <v>306</v>
      </c>
      <c r="F8" s="20" t="s">
        <v>307</v>
      </c>
      <c r="G8" s="40" t="s">
        <v>308</v>
      </c>
      <c r="H8" s="42" t="s">
        <v>309</v>
      </c>
      <c r="I8" s="40" t="s">
        <v>445</v>
      </c>
      <c r="J8" s="20" t="s">
        <v>446</v>
      </c>
      <c r="K8" s="40" t="s">
        <v>447</v>
      </c>
      <c r="L8" s="20" t="s">
        <v>448</v>
      </c>
      <c r="M8" s="40" t="s">
        <v>441</v>
      </c>
      <c r="N8" s="42" t="s">
        <v>449</v>
      </c>
      <c r="O8" s="40" t="s">
        <v>598</v>
      </c>
      <c r="P8" s="42" t="s">
        <v>599</v>
      </c>
      <c r="Q8" s="20" t="s">
        <v>600</v>
      </c>
      <c r="R8" s="42" t="s">
        <v>601</v>
      </c>
      <c r="S8" s="20" t="s">
        <v>586</v>
      </c>
      <c r="T8" s="42" t="s">
        <v>602</v>
      </c>
      <c r="U8" s="40" t="s">
        <v>188</v>
      </c>
      <c r="V8" s="42" t="s">
        <v>189</v>
      </c>
      <c r="W8" s="20" t="s">
        <v>190</v>
      </c>
      <c r="X8" s="42" t="s">
        <v>191</v>
      </c>
    </row>
    <row r="9" spans="1:24" ht="15.75" thickBot="1" x14ac:dyDescent="0.3">
      <c r="A9" s="30"/>
      <c r="B9" s="21" t="s">
        <v>163</v>
      </c>
      <c r="C9" s="43" t="s">
        <v>147</v>
      </c>
      <c r="D9" s="44" t="s">
        <v>310</v>
      </c>
      <c r="E9" s="21" t="s">
        <v>311</v>
      </c>
      <c r="F9" s="21" t="s">
        <v>312</v>
      </c>
      <c r="G9" s="43" t="s">
        <v>313</v>
      </c>
      <c r="H9" s="45" t="s">
        <v>314</v>
      </c>
      <c r="I9" s="43" t="s">
        <v>450</v>
      </c>
      <c r="J9" s="21" t="s">
        <v>451</v>
      </c>
      <c r="K9" s="43" t="s">
        <v>452</v>
      </c>
      <c r="L9" s="21" t="s">
        <v>453</v>
      </c>
      <c r="M9" s="43" t="s">
        <v>454</v>
      </c>
      <c r="N9" s="45" t="s">
        <v>455</v>
      </c>
      <c r="O9" s="43" t="s">
        <v>603</v>
      </c>
      <c r="P9" s="45" t="s">
        <v>604</v>
      </c>
      <c r="Q9" s="21" t="s">
        <v>605</v>
      </c>
      <c r="R9" s="45" t="s">
        <v>606</v>
      </c>
      <c r="S9" s="21" t="s">
        <v>607</v>
      </c>
      <c r="T9" s="45" t="s">
        <v>608</v>
      </c>
      <c r="U9" s="43" t="s">
        <v>192</v>
      </c>
      <c r="V9" s="45" t="s">
        <v>193</v>
      </c>
      <c r="W9" s="21" t="s">
        <v>194</v>
      </c>
      <c r="X9" s="45" t="s">
        <v>195</v>
      </c>
    </row>
    <row r="10" spans="1:24" x14ac:dyDescent="0.25">
      <c r="A10" s="28" t="s">
        <v>121</v>
      </c>
      <c r="B10" s="20" t="s">
        <v>161</v>
      </c>
      <c r="C10" s="40" t="s">
        <v>148</v>
      </c>
      <c r="D10" s="41" t="s">
        <v>315</v>
      </c>
      <c r="E10" s="20" t="s">
        <v>316</v>
      </c>
      <c r="F10" s="20" t="s">
        <v>317</v>
      </c>
      <c r="G10" s="40" t="s">
        <v>318</v>
      </c>
      <c r="H10" s="42" t="s">
        <v>319</v>
      </c>
      <c r="I10" s="40" t="s">
        <v>456</v>
      </c>
      <c r="J10" s="20" t="s">
        <v>457</v>
      </c>
      <c r="K10" s="40" t="s">
        <v>458</v>
      </c>
      <c r="L10" s="20" t="s">
        <v>459</v>
      </c>
      <c r="M10" s="40" t="s">
        <v>460</v>
      </c>
      <c r="N10" s="42" t="s">
        <v>461</v>
      </c>
      <c r="O10" s="40" t="s">
        <v>609</v>
      </c>
      <c r="P10" s="42" t="s">
        <v>610</v>
      </c>
      <c r="Q10" s="20" t="s">
        <v>611</v>
      </c>
      <c r="R10" s="42" t="s">
        <v>612</v>
      </c>
      <c r="S10" s="20" t="s">
        <v>613</v>
      </c>
      <c r="T10" s="42" t="s">
        <v>614</v>
      </c>
      <c r="U10" s="40" t="s">
        <v>168</v>
      </c>
      <c r="V10" s="42" t="s">
        <v>196</v>
      </c>
      <c r="W10" s="20" t="s">
        <v>197</v>
      </c>
      <c r="X10" s="42" t="s">
        <v>198</v>
      </c>
    </row>
    <row r="11" spans="1:24" x14ac:dyDescent="0.25">
      <c r="A11" s="29"/>
      <c r="B11" s="20" t="s">
        <v>162</v>
      </c>
      <c r="C11" s="40" t="s">
        <v>149</v>
      </c>
      <c r="D11" s="41" t="s">
        <v>320</v>
      </c>
      <c r="E11" s="20" t="s">
        <v>321</v>
      </c>
      <c r="F11" s="20" t="s">
        <v>322</v>
      </c>
      <c r="G11" s="40" t="s">
        <v>323</v>
      </c>
      <c r="H11" s="42" t="s">
        <v>324</v>
      </c>
      <c r="I11" s="40" t="s">
        <v>462</v>
      </c>
      <c r="J11" s="20" t="s">
        <v>463</v>
      </c>
      <c r="K11" s="40" t="s">
        <v>464</v>
      </c>
      <c r="L11" s="20" t="s">
        <v>465</v>
      </c>
      <c r="M11" s="40" t="s">
        <v>466</v>
      </c>
      <c r="N11" s="42" t="s">
        <v>467</v>
      </c>
      <c r="O11" s="40" t="s">
        <v>615</v>
      </c>
      <c r="P11" s="42" t="s">
        <v>616</v>
      </c>
      <c r="Q11" s="20" t="s">
        <v>585</v>
      </c>
      <c r="R11" s="42" t="s">
        <v>617</v>
      </c>
      <c r="S11" s="20" t="s">
        <v>618</v>
      </c>
      <c r="T11" s="42" t="s">
        <v>619</v>
      </c>
      <c r="U11" s="40" t="s">
        <v>199</v>
      </c>
      <c r="V11" s="42" t="s">
        <v>200</v>
      </c>
      <c r="W11" s="20" t="s">
        <v>201</v>
      </c>
      <c r="X11" s="42" t="s">
        <v>202</v>
      </c>
    </row>
    <row r="12" spans="1:24" ht="15.75" thickBot="1" x14ac:dyDescent="0.3">
      <c r="A12" s="30"/>
      <c r="B12" s="21" t="s">
        <v>163</v>
      </c>
      <c r="C12" s="43" t="s">
        <v>150</v>
      </c>
      <c r="D12" s="44" t="s">
        <v>325</v>
      </c>
      <c r="E12" s="21" t="s">
        <v>326</v>
      </c>
      <c r="F12" s="21" t="s">
        <v>327</v>
      </c>
      <c r="G12" s="43" t="s">
        <v>149</v>
      </c>
      <c r="H12" s="45" t="s">
        <v>328</v>
      </c>
      <c r="I12" s="43" t="s">
        <v>468</v>
      </c>
      <c r="J12" s="21" t="s">
        <v>469</v>
      </c>
      <c r="K12" s="43" t="s">
        <v>470</v>
      </c>
      <c r="L12" s="21" t="s">
        <v>471</v>
      </c>
      <c r="M12" s="43" t="s">
        <v>148</v>
      </c>
      <c r="N12" s="45" t="s">
        <v>472</v>
      </c>
      <c r="O12" s="43" t="s">
        <v>620</v>
      </c>
      <c r="P12" s="45" t="s">
        <v>621</v>
      </c>
      <c r="Q12" s="21" t="s">
        <v>622</v>
      </c>
      <c r="R12" s="45" t="s">
        <v>623</v>
      </c>
      <c r="S12" s="21" t="s">
        <v>624</v>
      </c>
      <c r="T12" s="45" t="s">
        <v>625</v>
      </c>
      <c r="U12" s="43" t="s">
        <v>203</v>
      </c>
      <c r="V12" s="45" t="s">
        <v>204</v>
      </c>
      <c r="W12" s="21" t="s">
        <v>205</v>
      </c>
      <c r="X12" s="45" t="s">
        <v>206</v>
      </c>
    </row>
    <row r="13" spans="1:24" x14ac:dyDescent="0.25">
      <c r="A13" s="28" t="s">
        <v>122</v>
      </c>
      <c r="B13" s="20" t="s">
        <v>161</v>
      </c>
      <c r="C13" s="40" t="s">
        <v>150</v>
      </c>
      <c r="D13" s="41" t="s">
        <v>329</v>
      </c>
      <c r="E13" s="20" t="s">
        <v>330</v>
      </c>
      <c r="F13" s="20" t="s">
        <v>331</v>
      </c>
      <c r="G13" s="40" t="s">
        <v>332</v>
      </c>
      <c r="H13" s="42" t="s">
        <v>333</v>
      </c>
      <c r="I13" s="40" t="s">
        <v>473</v>
      </c>
      <c r="J13" s="20" t="s">
        <v>474</v>
      </c>
      <c r="K13" s="40" t="s">
        <v>341</v>
      </c>
      <c r="L13" s="20" t="s">
        <v>475</v>
      </c>
      <c r="M13" s="40" t="s">
        <v>476</v>
      </c>
      <c r="N13" s="42" t="s">
        <v>477</v>
      </c>
      <c r="O13" s="40" t="s">
        <v>626</v>
      </c>
      <c r="P13" s="42" t="s">
        <v>627</v>
      </c>
      <c r="Q13" s="20" t="s">
        <v>628</v>
      </c>
      <c r="R13" s="42" t="s">
        <v>629</v>
      </c>
      <c r="S13" s="20" t="s">
        <v>630</v>
      </c>
      <c r="T13" s="42" t="s">
        <v>631</v>
      </c>
      <c r="U13" s="40" t="s">
        <v>207</v>
      </c>
      <c r="V13" s="42" t="s">
        <v>208</v>
      </c>
      <c r="W13" s="20" t="s">
        <v>209</v>
      </c>
      <c r="X13" s="42" t="s">
        <v>210</v>
      </c>
    </row>
    <row r="14" spans="1:24" x14ac:dyDescent="0.25">
      <c r="A14" s="29"/>
      <c r="B14" s="20" t="s">
        <v>162</v>
      </c>
      <c r="C14" s="40" t="s">
        <v>149</v>
      </c>
      <c r="D14" s="41" t="s">
        <v>334</v>
      </c>
      <c r="E14" s="20" t="s">
        <v>330</v>
      </c>
      <c r="F14" s="20" t="s">
        <v>335</v>
      </c>
      <c r="G14" s="40" t="s">
        <v>336</v>
      </c>
      <c r="H14" s="42" t="s">
        <v>337</v>
      </c>
      <c r="I14" s="40" t="s">
        <v>478</v>
      </c>
      <c r="J14" s="20" t="s">
        <v>479</v>
      </c>
      <c r="K14" s="40" t="s">
        <v>480</v>
      </c>
      <c r="L14" s="20" t="s">
        <v>481</v>
      </c>
      <c r="M14" s="40" t="s">
        <v>482</v>
      </c>
      <c r="N14" s="42" t="s">
        <v>483</v>
      </c>
      <c r="O14" s="40" t="s">
        <v>632</v>
      </c>
      <c r="P14" s="42" t="s">
        <v>633</v>
      </c>
      <c r="Q14" s="20" t="s">
        <v>634</v>
      </c>
      <c r="R14" s="42" t="s">
        <v>635</v>
      </c>
      <c r="S14" s="20" t="s">
        <v>636</v>
      </c>
      <c r="T14" s="42" t="s">
        <v>637</v>
      </c>
      <c r="U14" s="40" t="s">
        <v>170</v>
      </c>
      <c r="V14" s="42" t="s">
        <v>211</v>
      </c>
      <c r="W14" s="20" t="s">
        <v>212</v>
      </c>
      <c r="X14" s="42" t="s">
        <v>213</v>
      </c>
    </row>
    <row r="15" spans="1:24" ht="15.75" thickBot="1" x14ac:dyDescent="0.3">
      <c r="A15" s="30"/>
      <c r="B15" s="21" t="s">
        <v>163</v>
      </c>
      <c r="C15" s="43" t="s">
        <v>148</v>
      </c>
      <c r="D15" s="44" t="s">
        <v>338</v>
      </c>
      <c r="E15" s="21" t="s">
        <v>339</v>
      </c>
      <c r="F15" s="21" t="s">
        <v>340</v>
      </c>
      <c r="G15" s="43" t="s">
        <v>341</v>
      </c>
      <c r="H15" s="45" t="s">
        <v>342</v>
      </c>
      <c r="I15" s="43" t="s">
        <v>484</v>
      </c>
      <c r="J15" s="21" t="s">
        <v>485</v>
      </c>
      <c r="K15" s="43" t="s">
        <v>486</v>
      </c>
      <c r="L15" s="21" t="s">
        <v>487</v>
      </c>
      <c r="M15" s="43" t="s">
        <v>488</v>
      </c>
      <c r="N15" s="45" t="s">
        <v>489</v>
      </c>
      <c r="O15" s="43" t="s">
        <v>638</v>
      </c>
      <c r="P15" s="45" t="s">
        <v>639</v>
      </c>
      <c r="Q15" s="21" t="s">
        <v>640</v>
      </c>
      <c r="R15" s="45" t="s">
        <v>641</v>
      </c>
      <c r="S15" s="21" t="s">
        <v>642</v>
      </c>
      <c r="T15" s="45" t="s">
        <v>643</v>
      </c>
      <c r="U15" s="43" t="s">
        <v>214</v>
      </c>
      <c r="V15" s="45" t="s">
        <v>215</v>
      </c>
      <c r="W15" s="21" t="s">
        <v>216</v>
      </c>
      <c r="X15" s="45" t="s">
        <v>217</v>
      </c>
    </row>
    <row r="16" spans="1:24" x14ac:dyDescent="0.25">
      <c r="A16" s="28" t="s">
        <v>123</v>
      </c>
      <c r="B16" s="20" t="s">
        <v>161</v>
      </c>
      <c r="C16" s="40" t="s">
        <v>147</v>
      </c>
      <c r="D16" s="41" t="s">
        <v>343</v>
      </c>
      <c r="E16" s="20" t="s">
        <v>344</v>
      </c>
      <c r="F16" s="20" t="s">
        <v>345</v>
      </c>
      <c r="G16" s="40" t="s">
        <v>346</v>
      </c>
      <c r="H16" s="42" t="s">
        <v>347</v>
      </c>
      <c r="I16" s="40" t="s">
        <v>490</v>
      </c>
      <c r="J16" s="20" t="s">
        <v>491</v>
      </c>
      <c r="K16" s="40" t="s">
        <v>492</v>
      </c>
      <c r="L16" s="20" t="s">
        <v>493</v>
      </c>
      <c r="M16" s="40" t="s">
        <v>494</v>
      </c>
      <c r="N16" s="42" t="s">
        <v>495</v>
      </c>
      <c r="O16" s="40" t="s">
        <v>644</v>
      </c>
      <c r="P16" s="42" t="s">
        <v>645</v>
      </c>
      <c r="Q16" s="20" t="s">
        <v>646</v>
      </c>
      <c r="R16" s="42" t="s">
        <v>647</v>
      </c>
      <c r="S16" s="20" t="s">
        <v>648</v>
      </c>
      <c r="T16" s="42" t="s">
        <v>649</v>
      </c>
      <c r="U16" s="40" t="s">
        <v>218</v>
      </c>
      <c r="V16" s="42" t="s">
        <v>219</v>
      </c>
      <c r="W16" s="20" t="s">
        <v>220</v>
      </c>
      <c r="X16" s="42" t="s">
        <v>221</v>
      </c>
    </row>
    <row r="17" spans="1:24" x14ac:dyDescent="0.25">
      <c r="A17" s="29"/>
      <c r="B17" s="20" t="s">
        <v>162</v>
      </c>
      <c r="C17" s="40" t="s">
        <v>146</v>
      </c>
      <c r="D17" s="41" t="s">
        <v>348</v>
      </c>
      <c r="E17" s="20" t="s">
        <v>349</v>
      </c>
      <c r="F17" s="20" t="s">
        <v>350</v>
      </c>
      <c r="G17" s="40" t="s">
        <v>150</v>
      </c>
      <c r="H17" s="42" t="s">
        <v>351</v>
      </c>
      <c r="I17" s="40" t="s">
        <v>496</v>
      </c>
      <c r="J17" s="20" t="s">
        <v>497</v>
      </c>
      <c r="K17" s="40" t="s">
        <v>498</v>
      </c>
      <c r="L17" s="20" t="s">
        <v>499</v>
      </c>
      <c r="M17" s="40" t="s">
        <v>500</v>
      </c>
      <c r="N17" s="42" t="s">
        <v>501</v>
      </c>
      <c r="O17" s="40" t="s">
        <v>650</v>
      </c>
      <c r="P17" s="42" t="s">
        <v>651</v>
      </c>
      <c r="Q17" s="20" t="s">
        <v>652</v>
      </c>
      <c r="R17" s="42" t="s">
        <v>653</v>
      </c>
      <c r="S17" s="20" t="s">
        <v>654</v>
      </c>
      <c r="T17" s="42" t="s">
        <v>655</v>
      </c>
      <c r="U17" s="40" t="s">
        <v>222</v>
      </c>
      <c r="V17" s="42" t="s">
        <v>223</v>
      </c>
      <c r="W17" s="20" t="s">
        <v>169</v>
      </c>
      <c r="X17" s="42" t="s">
        <v>224</v>
      </c>
    </row>
    <row r="18" spans="1:24" ht="15.75" thickBot="1" x14ac:dyDescent="0.3">
      <c r="A18" s="30"/>
      <c r="B18" s="21" t="s">
        <v>163</v>
      </c>
      <c r="C18" s="43" t="s">
        <v>145</v>
      </c>
      <c r="D18" s="44" t="s">
        <v>352</v>
      </c>
      <c r="E18" s="21" t="s">
        <v>353</v>
      </c>
      <c r="F18" s="21" t="s">
        <v>354</v>
      </c>
      <c r="G18" s="43" t="s">
        <v>355</v>
      </c>
      <c r="H18" s="45" t="s">
        <v>356</v>
      </c>
      <c r="I18" s="43" t="s">
        <v>476</v>
      </c>
      <c r="J18" s="21" t="s">
        <v>502</v>
      </c>
      <c r="K18" s="43" t="s">
        <v>482</v>
      </c>
      <c r="L18" s="21" t="s">
        <v>503</v>
      </c>
      <c r="M18" s="43" t="s">
        <v>504</v>
      </c>
      <c r="N18" s="45" t="s">
        <v>505</v>
      </c>
      <c r="O18" s="43" t="s">
        <v>656</v>
      </c>
      <c r="P18" s="45" t="s">
        <v>657</v>
      </c>
      <c r="Q18" s="21" t="s">
        <v>652</v>
      </c>
      <c r="R18" s="45" t="s">
        <v>658</v>
      </c>
      <c r="S18" s="21" t="s">
        <v>659</v>
      </c>
      <c r="T18" s="45" t="s">
        <v>660</v>
      </c>
      <c r="U18" s="43" t="s">
        <v>225</v>
      </c>
      <c r="V18" s="45" t="s">
        <v>226</v>
      </c>
      <c r="W18" s="21" t="s">
        <v>227</v>
      </c>
      <c r="X18" s="45" t="s">
        <v>228</v>
      </c>
    </row>
    <row r="19" spans="1:24" x14ac:dyDescent="0.25">
      <c r="A19" s="28" t="s">
        <v>124</v>
      </c>
      <c r="B19" s="20" t="s">
        <v>161</v>
      </c>
      <c r="C19" s="40" t="s">
        <v>144</v>
      </c>
      <c r="D19" s="41" t="s">
        <v>357</v>
      </c>
      <c r="E19" s="20" t="s">
        <v>146</v>
      </c>
      <c r="F19" s="20" t="s">
        <v>358</v>
      </c>
      <c r="G19" s="40" t="s">
        <v>359</v>
      </c>
      <c r="H19" s="42" t="s">
        <v>360</v>
      </c>
      <c r="I19" s="40" t="s">
        <v>346</v>
      </c>
      <c r="J19" s="20" t="s">
        <v>506</v>
      </c>
      <c r="K19" s="40" t="s">
        <v>507</v>
      </c>
      <c r="L19" s="20" t="s">
        <v>508</v>
      </c>
      <c r="M19" s="40" t="s">
        <v>509</v>
      </c>
      <c r="N19" s="42" t="s">
        <v>510</v>
      </c>
      <c r="O19" s="40" t="s">
        <v>170</v>
      </c>
      <c r="P19" s="42" t="s">
        <v>661</v>
      </c>
      <c r="Q19" s="20" t="s">
        <v>662</v>
      </c>
      <c r="R19" s="42" t="s">
        <v>663</v>
      </c>
      <c r="S19" s="20" t="s">
        <v>664</v>
      </c>
      <c r="T19" s="42" t="s">
        <v>665</v>
      </c>
      <c r="U19" s="40" t="s">
        <v>229</v>
      </c>
      <c r="V19" s="42" t="s">
        <v>230</v>
      </c>
      <c r="W19" s="20" t="s">
        <v>231</v>
      </c>
      <c r="X19" s="42" t="s">
        <v>232</v>
      </c>
    </row>
    <row r="20" spans="1:24" x14ac:dyDescent="0.25">
      <c r="A20" s="29"/>
      <c r="B20" s="20" t="s">
        <v>162</v>
      </c>
      <c r="C20" s="40" t="s">
        <v>143</v>
      </c>
      <c r="D20" s="41" t="s">
        <v>361</v>
      </c>
      <c r="E20" s="20" t="s">
        <v>311</v>
      </c>
      <c r="F20" s="20" t="s">
        <v>362</v>
      </c>
      <c r="G20" s="40" t="s">
        <v>363</v>
      </c>
      <c r="H20" s="42" t="s">
        <v>364</v>
      </c>
      <c r="I20" s="40" t="s">
        <v>511</v>
      </c>
      <c r="J20" s="20" t="s">
        <v>512</v>
      </c>
      <c r="K20" s="40" t="s">
        <v>513</v>
      </c>
      <c r="L20" s="20" t="s">
        <v>514</v>
      </c>
      <c r="M20" s="40" t="s">
        <v>515</v>
      </c>
      <c r="N20" s="42" t="s">
        <v>516</v>
      </c>
      <c r="O20" s="40" t="s">
        <v>666</v>
      </c>
      <c r="P20" s="42" t="s">
        <v>667</v>
      </c>
      <c r="Q20" s="20" t="s">
        <v>668</v>
      </c>
      <c r="R20" s="42" t="s">
        <v>669</v>
      </c>
      <c r="S20" s="20" t="s">
        <v>670</v>
      </c>
      <c r="T20" s="42" t="s">
        <v>671</v>
      </c>
      <c r="U20" s="40" t="s">
        <v>233</v>
      </c>
      <c r="V20" s="42" t="s">
        <v>234</v>
      </c>
      <c r="W20" s="20" t="s">
        <v>235</v>
      </c>
      <c r="X20" s="42" t="s">
        <v>236</v>
      </c>
    </row>
    <row r="21" spans="1:24" ht="15.75" thickBot="1" x14ac:dyDescent="0.3">
      <c r="A21" s="30"/>
      <c r="B21" s="21" t="s">
        <v>163</v>
      </c>
      <c r="C21" s="43" t="s">
        <v>142</v>
      </c>
      <c r="D21" s="44" t="s">
        <v>165</v>
      </c>
      <c r="E21" s="21" t="s">
        <v>365</v>
      </c>
      <c r="F21" s="21" t="s">
        <v>165</v>
      </c>
      <c r="G21" s="43" t="s">
        <v>366</v>
      </c>
      <c r="H21" s="45" t="s">
        <v>165</v>
      </c>
      <c r="I21" s="43" t="s">
        <v>517</v>
      </c>
      <c r="J21" s="21" t="s">
        <v>165</v>
      </c>
      <c r="K21" s="43" t="s">
        <v>484</v>
      </c>
      <c r="L21" s="21" t="s">
        <v>165</v>
      </c>
      <c r="M21" s="43" t="s">
        <v>518</v>
      </c>
      <c r="N21" s="45" t="s">
        <v>165</v>
      </c>
      <c r="O21" s="43" t="s">
        <v>672</v>
      </c>
      <c r="P21" s="45" t="s">
        <v>165</v>
      </c>
      <c r="Q21" s="21" t="s">
        <v>646</v>
      </c>
      <c r="R21" s="45" t="s">
        <v>165</v>
      </c>
      <c r="S21" s="21" t="s">
        <v>673</v>
      </c>
      <c r="T21" s="45" t="s">
        <v>165</v>
      </c>
      <c r="U21" s="43" t="s">
        <v>237</v>
      </c>
      <c r="V21" s="45" t="s">
        <v>165</v>
      </c>
      <c r="W21" s="21" t="s">
        <v>238</v>
      </c>
      <c r="X21" s="45" t="s">
        <v>165</v>
      </c>
    </row>
    <row r="22" spans="1:24" x14ac:dyDescent="0.25">
      <c r="A22" s="28" t="s">
        <v>125</v>
      </c>
      <c r="B22" s="20" t="s">
        <v>161</v>
      </c>
      <c r="C22" s="40" t="s">
        <v>142</v>
      </c>
      <c r="D22" s="41" t="s">
        <v>367</v>
      </c>
      <c r="E22" s="20" t="s">
        <v>365</v>
      </c>
      <c r="F22" s="20" t="s">
        <v>368</v>
      </c>
      <c r="G22" s="40" t="s">
        <v>366</v>
      </c>
      <c r="H22" s="42" t="s">
        <v>369</v>
      </c>
      <c r="I22" s="40" t="s">
        <v>517</v>
      </c>
      <c r="J22" s="20" t="s">
        <v>519</v>
      </c>
      <c r="K22" s="40" t="s">
        <v>484</v>
      </c>
      <c r="L22" s="20" t="s">
        <v>520</v>
      </c>
      <c r="M22" s="40" t="s">
        <v>518</v>
      </c>
      <c r="N22" s="42" t="s">
        <v>521</v>
      </c>
      <c r="O22" s="40" t="s">
        <v>672</v>
      </c>
      <c r="P22" s="42" t="s">
        <v>674</v>
      </c>
      <c r="Q22" s="20" t="s">
        <v>646</v>
      </c>
      <c r="R22" s="42" t="s">
        <v>675</v>
      </c>
      <c r="S22" s="20" t="s">
        <v>673</v>
      </c>
      <c r="T22" s="42" t="s">
        <v>676</v>
      </c>
      <c r="U22" s="40" t="s">
        <v>237</v>
      </c>
      <c r="V22" s="42" t="s">
        <v>239</v>
      </c>
      <c r="W22" s="20" t="s">
        <v>238</v>
      </c>
      <c r="X22" s="42" t="s">
        <v>240</v>
      </c>
    </row>
    <row r="23" spans="1:24" x14ac:dyDescent="0.25">
      <c r="A23" s="29"/>
      <c r="B23" s="20" t="s">
        <v>162</v>
      </c>
      <c r="C23" s="40" t="s">
        <v>143</v>
      </c>
      <c r="D23" s="41" t="s">
        <v>370</v>
      </c>
      <c r="E23" s="20" t="s">
        <v>311</v>
      </c>
      <c r="F23" s="20" t="s">
        <v>371</v>
      </c>
      <c r="G23" s="40" t="s">
        <v>363</v>
      </c>
      <c r="H23" s="42" t="s">
        <v>372</v>
      </c>
      <c r="I23" s="40" t="s">
        <v>511</v>
      </c>
      <c r="J23" s="20" t="s">
        <v>522</v>
      </c>
      <c r="K23" s="40" t="s">
        <v>513</v>
      </c>
      <c r="L23" s="20" t="s">
        <v>523</v>
      </c>
      <c r="M23" s="40" t="s">
        <v>515</v>
      </c>
      <c r="N23" s="42" t="s">
        <v>524</v>
      </c>
      <c r="O23" s="40" t="s">
        <v>666</v>
      </c>
      <c r="P23" s="42" t="s">
        <v>677</v>
      </c>
      <c r="Q23" s="20" t="s">
        <v>668</v>
      </c>
      <c r="R23" s="42" t="s">
        <v>678</v>
      </c>
      <c r="S23" s="20" t="s">
        <v>670</v>
      </c>
      <c r="T23" s="42" t="s">
        <v>679</v>
      </c>
      <c r="U23" s="40" t="s">
        <v>233</v>
      </c>
      <c r="V23" s="42" t="s">
        <v>241</v>
      </c>
      <c r="W23" s="20" t="s">
        <v>235</v>
      </c>
      <c r="X23" s="42" t="s">
        <v>242</v>
      </c>
    </row>
    <row r="24" spans="1:24" ht="15.75" thickBot="1" x14ac:dyDescent="0.3">
      <c r="A24" s="30"/>
      <c r="B24" s="21" t="s">
        <v>163</v>
      </c>
      <c r="C24" s="43" t="s">
        <v>144</v>
      </c>
      <c r="D24" s="44" t="s">
        <v>373</v>
      </c>
      <c r="E24" s="21" t="s">
        <v>146</v>
      </c>
      <c r="F24" s="21" t="s">
        <v>374</v>
      </c>
      <c r="G24" s="43" t="s">
        <v>359</v>
      </c>
      <c r="H24" s="45" t="s">
        <v>375</v>
      </c>
      <c r="I24" s="43" t="s">
        <v>346</v>
      </c>
      <c r="J24" s="21" t="s">
        <v>525</v>
      </c>
      <c r="K24" s="43" t="s">
        <v>507</v>
      </c>
      <c r="L24" s="21" t="s">
        <v>526</v>
      </c>
      <c r="M24" s="43" t="s">
        <v>509</v>
      </c>
      <c r="N24" s="45" t="s">
        <v>527</v>
      </c>
      <c r="O24" s="43" t="s">
        <v>170</v>
      </c>
      <c r="P24" s="45" t="s">
        <v>680</v>
      </c>
      <c r="Q24" s="21" t="s">
        <v>662</v>
      </c>
      <c r="R24" s="45" t="s">
        <v>681</v>
      </c>
      <c r="S24" s="21" t="s">
        <v>664</v>
      </c>
      <c r="T24" s="45" t="s">
        <v>682</v>
      </c>
      <c r="U24" s="43" t="s">
        <v>229</v>
      </c>
      <c r="V24" s="45" t="s">
        <v>243</v>
      </c>
      <c r="W24" s="21" t="s">
        <v>231</v>
      </c>
      <c r="X24" s="45" t="s">
        <v>244</v>
      </c>
    </row>
    <row r="25" spans="1:24" x14ac:dyDescent="0.25">
      <c r="A25" s="28" t="s">
        <v>126</v>
      </c>
      <c r="B25" s="20" t="s">
        <v>161</v>
      </c>
      <c r="C25" s="40" t="s">
        <v>145</v>
      </c>
      <c r="D25" s="41" t="s">
        <v>376</v>
      </c>
      <c r="E25" s="20" t="s">
        <v>353</v>
      </c>
      <c r="F25" s="20" t="s">
        <v>377</v>
      </c>
      <c r="G25" s="40" t="s">
        <v>355</v>
      </c>
      <c r="H25" s="42" t="s">
        <v>378</v>
      </c>
      <c r="I25" s="40" t="s">
        <v>476</v>
      </c>
      <c r="J25" s="20" t="s">
        <v>528</v>
      </c>
      <c r="K25" s="40" t="s">
        <v>482</v>
      </c>
      <c r="L25" s="20" t="s">
        <v>529</v>
      </c>
      <c r="M25" s="40" t="s">
        <v>504</v>
      </c>
      <c r="N25" s="42" t="s">
        <v>530</v>
      </c>
      <c r="O25" s="40" t="s">
        <v>656</v>
      </c>
      <c r="P25" s="42" t="s">
        <v>683</v>
      </c>
      <c r="Q25" s="20" t="s">
        <v>652</v>
      </c>
      <c r="R25" s="42" t="s">
        <v>684</v>
      </c>
      <c r="S25" s="20" t="s">
        <v>659</v>
      </c>
      <c r="T25" s="42" t="s">
        <v>685</v>
      </c>
      <c r="U25" s="40" t="s">
        <v>245</v>
      </c>
      <c r="V25" s="42" t="s">
        <v>246</v>
      </c>
      <c r="W25" s="20" t="s">
        <v>227</v>
      </c>
      <c r="X25" s="42" t="s">
        <v>247</v>
      </c>
    </row>
    <row r="26" spans="1:24" x14ac:dyDescent="0.25">
      <c r="A26" s="29"/>
      <c r="B26" s="20" t="s">
        <v>162</v>
      </c>
      <c r="C26" s="40" t="s">
        <v>146</v>
      </c>
      <c r="D26" s="41" t="s">
        <v>379</v>
      </c>
      <c r="E26" s="20" t="s">
        <v>349</v>
      </c>
      <c r="F26" s="20" t="s">
        <v>380</v>
      </c>
      <c r="G26" s="40" t="s">
        <v>150</v>
      </c>
      <c r="H26" s="42" t="s">
        <v>381</v>
      </c>
      <c r="I26" s="40" t="s">
        <v>496</v>
      </c>
      <c r="J26" s="20" t="s">
        <v>531</v>
      </c>
      <c r="K26" s="40" t="s">
        <v>498</v>
      </c>
      <c r="L26" s="20" t="s">
        <v>532</v>
      </c>
      <c r="M26" s="40" t="s">
        <v>500</v>
      </c>
      <c r="N26" s="42" t="s">
        <v>533</v>
      </c>
      <c r="O26" s="40" t="s">
        <v>650</v>
      </c>
      <c r="P26" s="42" t="s">
        <v>686</v>
      </c>
      <c r="Q26" s="20" t="s">
        <v>652</v>
      </c>
      <c r="R26" s="42" t="s">
        <v>687</v>
      </c>
      <c r="S26" s="20" t="s">
        <v>654</v>
      </c>
      <c r="T26" s="42" t="s">
        <v>688</v>
      </c>
      <c r="U26" s="40" t="s">
        <v>222</v>
      </c>
      <c r="V26" s="42" t="s">
        <v>248</v>
      </c>
      <c r="W26" s="20" t="s">
        <v>169</v>
      </c>
      <c r="X26" s="42" t="s">
        <v>249</v>
      </c>
    </row>
    <row r="27" spans="1:24" ht="15.75" thickBot="1" x14ac:dyDescent="0.3">
      <c r="A27" s="30"/>
      <c r="B27" s="21" t="s">
        <v>163</v>
      </c>
      <c r="C27" s="43" t="s">
        <v>147</v>
      </c>
      <c r="D27" s="44" t="s">
        <v>382</v>
      </c>
      <c r="E27" s="21" t="s">
        <v>344</v>
      </c>
      <c r="F27" s="21" t="s">
        <v>383</v>
      </c>
      <c r="G27" s="43" t="s">
        <v>346</v>
      </c>
      <c r="H27" s="45" t="s">
        <v>384</v>
      </c>
      <c r="I27" s="43" t="s">
        <v>490</v>
      </c>
      <c r="J27" s="21" t="s">
        <v>534</v>
      </c>
      <c r="K27" s="43" t="s">
        <v>492</v>
      </c>
      <c r="L27" s="21" t="s">
        <v>535</v>
      </c>
      <c r="M27" s="43" t="s">
        <v>494</v>
      </c>
      <c r="N27" s="45" t="s">
        <v>536</v>
      </c>
      <c r="O27" s="43" t="s">
        <v>644</v>
      </c>
      <c r="P27" s="45" t="s">
        <v>689</v>
      </c>
      <c r="Q27" s="21" t="s">
        <v>646</v>
      </c>
      <c r="R27" s="45" t="s">
        <v>690</v>
      </c>
      <c r="S27" s="21" t="s">
        <v>648</v>
      </c>
      <c r="T27" s="45" t="s">
        <v>691</v>
      </c>
      <c r="U27" s="43" t="s">
        <v>218</v>
      </c>
      <c r="V27" s="45" t="s">
        <v>250</v>
      </c>
      <c r="W27" s="21" t="s">
        <v>220</v>
      </c>
      <c r="X27" s="45" t="s">
        <v>251</v>
      </c>
    </row>
    <row r="28" spans="1:24" x14ac:dyDescent="0.25">
      <c r="A28" s="28" t="s">
        <v>127</v>
      </c>
      <c r="B28" s="20" t="s">
        <v>161</v>
      </c>
      <c r="C28" s="40" t="s">
        <v>148</v>
      </c>
      <c r="D28" s="41" t="s">
        <v>385</v>
      </c>
      <c r="E28" s="20" t="s">
        <v>339</v>
      </c>
      <c r="F28" s="20" t="s">
        <v>386</v>
      </c>
      <c r="G28" s="40" t="s">
        <v>341</v>
      </c>
      <c r="H28" s="42" t="s">
        <v>387</v>
      </c>
      <c r="I28" s="40" t="s">
        <v>484</v>
      </c>
      <c r="J28" s="20" t="s">
        <v>537</v>
      </c>
      <c r="K28" s="40" t="s">
        <v>486</v>
      </c>
      <c r="L28" s="20" t="s">
        <v>538</v>
      </c>
      <c r="M28" s="40" t="s">
        <v>488</v>
      </c>
      <c r="N28" s="42" t="s">
        <v>539</v>
      </c>
      <c r="O28" s="40" t="s">
        <v>638</v>
      </c>
      <c r="P28" s="42" t="s">
        <v>692</v>
      </c>
      <c r="Q28" s="20" t="s">
        <v>640</v>
      </c>
      <c r="R28" s="42" t="s">
        <v>693</v>
      </c>
      <c r="S28" s="20" t="s">
        <v>642</v>
      </c>
      <c r="T28" s="42" t="s">
        <v>694</v>
      </c>
      <c r="U28" s="40" t="s">
        <v>214</v>
      </c>
      <c r="V28" s="42" t="s">
        <v>252</v>
      </c>
      <c r="W28" s="20" t="s">
        <v>216</v>
      </c>
      <c r="X28" s="42" t="s">
        <v>253</v>
      </c>
    </row>
    <row r="29" spans="1:24" x14ac:dyDescent="0.25">
      <c r="A29" s="29"/>
      <c r="B29" s="20" t="s">
        <v>162</v>
      </c>
      <c r="C29" s="40" t="s">
        <v>149</v>
      </c>
      <c r="D29" s="41" t="s">
        <v>388</v>
      </c>
      <c r="E29" s="20" t="s">
        <v>330</v>
      </c>
      <c r="F29" s="20" t="s">
        <v>389</v>
      </c>
      <c r="G29" s="40" t="s">
        <v>336</v>
      </c>
      <c r="H29" s="42" t="s">
        <v>390</v>
      </c>
      <c r="I29" s="40" t="s">
        <v>478</v>
      </c>
      <c r="J29" s="20" t="s">
        <v>540</v>
      </c>
      <c r="K29" s="40" t="s">
        <v>480</v>
      </c>
      <c r="L29" s="20" t="s">
        <v>541</v>
      </c>
      <c r="M29" s="40" t="s">
        <v>482</v>
      </c>
      <c r="N29" s="42" t="s">
        <v>542</v>
      </c>
      <c r="O29" s="40" t="s">
        <v>632</v>
      </c>
      <c r="P29" s="42" t="s">
        <v>695</v>
      </c>
      <c r="Q29" s="20" t="s">
        <v>634</v>
      </c>
      <c r="R29" s="42" t="s">
        <v>696</v>
      </c>
      <c r="S29" s="20" t="s">
        <v>636</v>
      </c>
      <c r="T29" s="42" t="s">
        <v>697</v>
      </c>
      <c r="U29" s="40" t="s">
        <v>170</v>
      </c>
      <c r="V29" s="42" t="s">
        <v>254</v>
      </c>
      <c r="W29" s="20" t="s">
        <v>212</v>
      </c>
      <c r="X29" s="42" t="s">
        <v>255</v>
      </c>
    </row>
    <row r="30" spans="1:24" ht="15.75" thickBot="1" x14ac:dyDescent="0.3">
      <c r="A30" s="30"/>
      <c r="B30" s="21" t="s">
        <v>163</v>
      </c>
      <c r="C30" s="43" t="s">
        <v>150</v>
      </c>
      <c r="D30" s="44" t="s">
        <v>391</v>
      </c>
      <c r="E30" s="21" t="s">
        <v>330</v>
      </c>
      <c r="F30" s="21" t="s">
        <v>392</v>
      </c>
      <c r="G30" s="43" t="s">
        <v>332</v>
      </c>
      <c r="H30" s="45" t="s">
        <v>393</v>
      </c>
      <c r="I30" s="43" t="s">
        <v>473</v>
      </c>
      <c r="J30" s="21" t="s">
        <v>543</v>
      </c>
      <c r="K30" s="43" t="s">
        <v>341</v>
      </c>
      <c r="L30" s="21" t="s">
        <v>544</v>
      </c>
      <c r="M30" s="43" t="s">
        <v>476</v>
      </c>
      <c r="N30" s="45" t="s">
        <v>545</v>
      </c>
      <c r="O30" s="43" t="s">
        <v>626</v>
      </c>
      <c r="P30" s="45" t="s">
        <v>698</v>
      </c>
      <c r="Q30" s="21" t="s">
        <v>628</v>
      </c>
      <c r="R30" s="45" t="s">
        <v>699</v>
      </c>
      <c r="S30" s="21" t="s">
        <v>630</v>
      </c>
      <c r="T30" s="45" t="s">
        <v>700</v>
      </c>
      <c r="U30" s="43" t="s">
        <v>207</v>
      </c>
      <c r="V30" s="45" t="s">
        <v>256</v>
      </c>
      <c r="W30" s="21" t="s">
        <v>209</v>
      </c>
      <c r="X30" s="45" t="s">
        <v>257</v>
      </c>
    </row>
    <row r="31" spans="1:24" x14ac:dyDescent="0.25">
      <c r="A31" s="28" t="s">
        <v>166</v>
      </c>
      <c r="B31" s="20" t="s">
        <v>161</v>
      </c>
      <c r="C31" s="40" t="s">
        <v>150</v>
      </c>
      <c r="D31" s="41" t="s">
        <v>394</v>
      </c>
      <c r="E31" s="20" t="s">
        <v>326</v>
      </c>
      <c r="F31" s="20" t="s">
        <v>395</v>
      </c>
      <c r="G31" s="40" t="s">
        <v>149</v>
      </c>
      <c r="H31" s="42" t="s">
        <v>396</v>
      </c>
      <c r="I31" s="40" t="s">
        <v>468</v>
      </c>
      <c r="J31" s="20" t="s">
        <v>546</v>
      </c>
      <c r="K31" s="40" t="s">
        <v>470</v>
      </c>
      <c r="L31" s="20" t="s">
        <v>547</v>
      </c>
      <c r="M31" s="40" t="s">
        <v>148</v>
      </c>
      <c r="N31" s="42" t="s">
        <v>548</v>
      </c>
      <c r="O31" s="40" t="s">
        <v>620</v>
      </c>
      <c r="P31" s="42" t="s">
        <v>701</v>
      </c>
      <c r="Q31" s="20" t="s">
        <v>622</v>
      </c>
      <c r="R31" s="42" t="s">
        <v>702</v>
      </c>
      <c r="S31" s="20" t="s">
        <v>624</v>
      </c>
      <c r="T31" s="42" t="s">
        <v>703</v>
      </c>
      <c r="U31" s="40" t="s">
        <v>203</v>
      </c>
      <c r="V31" s="42" t="s">
        <v>258</v>
      </c>
      <c r="W31" s="20" t="s">
        <v>205</v>
      </c>
      <c r="X31" s="42" t="s">
        <v>259</v>
      </c>
    </row>
    <row r="32" spans="1:24" x14ac:dyDescent="0.25">
      <c r="A32" s="29"/>
      <c r="B32" s="20" t="s">
        <v>162</v>
      </c>
      <c r="C32" s="40" t="s">
        <v>149</v>
      </c>
      <c r="D32" s="41" t="s">
        <v>397</v>
      </c>
      <c r="E32" s="20" t="s">
        <v>321</v>
      </c>
      <c r="F32" s="20" t="s">
        <v>398</v>
      </c>
      <c r="G32" s="40" t="s">
        <v>323</v>
      </c>
      <c r="H32" s="42" t="s">
        <v>399</v>
      </c>
      <c r="I32" s="40" t="s">
        <v>462</v>
      </c>
      <c r="J32" s="20" t="s">
        <v>549</v>
      </c>
      <c r="K32" s="40" t="s">
        <v>464</v>
      </c>
      <c r="L32" s="20" t="s">
        <v>550</v>
      </c>
      <c r="M32" s="40" t="s">
        <v>466</v>
      </c>
      <c r="N32" s="42" t="s">
        <v>551</v>
      </c>
      <c r="O32" s="40" t="s">
        <v>615</v>
      </c>
      <c r="P32" s="42" t="s">
        <v>704</v>
      </c>
      <c r="Q32" s="20" t="s">
        <v>585</v>
      </c>
      <c r="R32" s="42" t="s">
        <v>705</v>
      </c>
      <c r="S32" s="20" t="s">
        <v>618</v>
      </c>
      <c r="T32" s="42" t="s">
        <v>706</v>
      </c>
      <c r="U32" s="40" t="s">
        <v>199</v>
      </c>
      <c r="V32" s="42" t="s">
        <v>260</v>
      </c>
      <c r="W32" s="20" t="s">
        <v>201</v>
      </c>
      <c r="X32" s="42" t="s">
        <v>261</v>
      </c>
    </row>
    <row r="33" spans="1:24" ht="15.75" thickBot="1" x14ac:dyDescent="0.3">
      <c r="A33" s="30"/>
      <c r="B33" s="21" t="s">
        <v>163</v>
      </c>
      <c r="C33" s="43" t="s">
        <v>148</v>
      </c>
      <c r="D33" s="44" t="s">
        <v>400</v>
      </c>
      <c r="E33" s="21" t="s">
        <v>316</v>
      </c>
      <c r="F33" s="21" t="s">
        <v>401</v>
      </c>
      <c r="G33" s="43" t="s">
        <v>318</v>
      </c>
      <c r="H33" s="45" t="s">
        <v>402</v>
      </c>
      <c r="I33" s="43" t="s">
        <v>456</v>
      </c>
      <c r="J33" s="21" t="s">
        <v>552</v>
      </c>
      <c r="K33" s="43" t="s">
        <v>458</v>
      </c>
      <c r="L33" s="21" t="s">
        <v>553</v>
      </c>
      <c r="M33" s="43" t="s">
        <v>460</v>
      </c>
      <c r="N33" s="45" t="s">
        <v>554</v>
      </c>
      <c r="O33" s="43" t="s">
        <v>609</v>
      </c>
      <c r="P33" s="45" t="s">
        <v>707</v>
      </c>
      <c r="Q33" s="21" t="s">
        <v>611</v>
      </c>
      <c r="R33" s="45" t="s">
        <v>708</v>
      </c>
      <c r="S33" s="21" t="s">
        <v>613</v>
      </c>
      <c r="T33" s="45" t="s">
        <v>709</v>
      </c>
      <c r="U33" s="43" t="s">
        <v>168</v>
      </c>
      <c r="V33" s="45" t="s">
        <v>262</v>
      </c>
      <c r="W33" s="21" t="s">
        <v>197</v>
      </c>
      <c r="X33" s="45" t="s">
        <v>263</v>
      </c>
    </row>
    <row r="34" spans="1:24" x14ac:dyDescent="0.25">
      <c r="A34" s="28" t="s">
        <v>128</v>
      </c>
      <c r="B34" s="20" t="s">
        <v>161</v>
      </c>
      <c r="C34" s="40" t="s">
        <v>147</v>
      </c>
      <c r="D34" s="41" t="s">
        <v>403</v>
      </c>
      <c r="E34" s="20" t="s">
        <v>311</v>
      </c>
      <c r="F34" s="20" t="s">
        <v>404</v>
      </c>
      <c r="G34" s="40" t="s">
        <v>313</v>
      </c>
      <c r="H34" s="42" t="s">
        <v>405</v>
      </c>
      <c r="I34" s="40" t="s">
        <v>450</v>
      </c>
      <c r="J34" s="20" t="s">
        <v>555</v>
      </c>
      <c r="K34" s="40" t="s">
        <v>452</v>
      </c>
      <c r="L34" s="20" t="s">
        <v>556</v>
      </c>
      <c r="M34" s="40" t="s">
        <v>454</v>
      </c>
      <c r="N34" s="42" t="s">
        <v>557</v>
      </c>
      <c r="O34" s="40" t="s">
        <v>603</v>
      </c>
      <c r="P34" s="42" t="s">
        <v>710</v>
      </c>
      <c r="Q34" s="20" t="s">
        <v>605</v>
      </c>
      <c r="R34" s="42" t="s">
        <v>711</v>
      </c>
      <c r="S34" s="20" t="s">
        <v>607</v>
      </c>
      <c r="T34" s="42" t="s">
        <v>712</v>
      </c>
      <c r="U34" s="40" t="s">
        <v>192</v>
      </c>
      <c r="V34" s="42" t="s">
        <v>264</v>
      </c>
      <c r="W34" s="20" t="s">
        <v>194</v>
      </c>
      <c r="X34" s="42" t="s">
        <v>265</v>
      </c>
    </row>
    <row r="35" spans="1:24" x14ac:dyDescent="0.25">
      <c r="A35" s="29"/>
      <c r="B35" s="20" t="s">
        <v>162</v>
      </c>
      <c r="C35" s="40" t="s">
        <v>146</v>
      </c>
      <c r="D35" s="41" t="s">
        <v>406</v>
      </c>
      <c r="E35" s="20" t="s">
        <v>306</v>
      </c>
      <c r="F35" s="20" t="s">
        <v>407</v>
      </c>
      <c r="G35" s="40" t="s">
        <v>308</v>
      </c>
      <c r="H35" s="42" t="s">
        <v>408</v>
      </c>
      <c r="I35" s="40" t="s">
        <v>445</v>
      </c>
      <c r="J35" s="20" t="s">
        <v>558</v>
      </c>
      <c r="K35" s="40" t="s">
        <v>447</v>
      </c>
      <c r="L35" s="20" t="s">
        <v>559</v>
      </c>
      <c r="M35" s="40" t="s">
        <v>441</v>
      </c>
      <c r="N35" s="42" t="s">
        <v>560</v>
      </c>
      <c r="O35" s="40" t="s">
        <v>598</v>
      </c>
      <c r="P35" s="42" t="s">
        <v>713</v>
      </c>
      <c r="Q35" s="20" t="s">
        <v>600</v>
      </c>
      <c r="R35" s="42" t="s">
        <v>714</v>
      </c>
      <c r="S35" s="20" t="s">
        <v>586</v>
      </c>
      <c r="T35" s="42" t="s">
        <v>715</v>
      </c>
      <c r="U35" s="40" t="s">
        <v>188</v>
      </c>
      <c r="V35" s="42" t="s">
        <v>266</v>
      </c>
      <c r="W35" s="20" t="s">
        <v>190</v>
      </c>
      <c r="X35" s="42" t="s">
        <v>267</v>
      </c>
    </row>
    <row r="36" spans="1:24" ht="15.75" thickBot="1" x14ac:dyDescent="0.3">
      <c r="A36" s="30"/>
      <c r="B36" s="21" t="s">
        <v>163</v>
      </c>
      <c r="C36" s="43" t="s">
        <v>145</v>
      </c>
      <c r="D36" s="44" t="s">
        <v>409</v>
      </c>
      <c r="E36" s="21" t="s">
        <v>301</v>
      </c>
      <c r="F36" s="21" t="s">
        <v>410</v>
      </c>
      <c r="G36" s="43" t="s">
        <v>303</v>
      </c>
      <c r="H36" s="45" t="s">
        <v>411</v>
      </c>
      <c r="I36" s="43" t="s">
        <v>439</v>
      </c>
      <c r="J36" s="21" t="s">
        <v>561</v>
      </c>
      <c r="K36" s="43" t="s">
        <v>441</v>
      </c>
      <c r="L36" s="21" t="s">
        <v>562</v>
      </c>
      <c r="M36" s="43" t="s">
        <v>443</v>
      </c>
      <c r="N36" s="45" t="s">
        <v>563</v>
      </c>
      <c r="O36" s="43" t="s">
        <v>592</v>
      </c>
      <c r="P36" s="45" t="s">
        <v>716</v>
      </c>
      <c r="Q36" s="21" t="s">
        <v>594</v>
      </c>
      <c r="R36" s="45" t="s">
        <v>717</v>
      </c>
      <c r="S36" s="21" t="s">
        <v>596</v>
      </c>
      <c r="T36" s="45" t="s">
        <v>718</v>
      </c>
      <c r="U36" s="43" t="s">
        <v>184</v>
      </c>
      <c r="V36" s="45" t="s">
        <v>268</v>
      </c>
      <c r="W36" s="21" t="s">
        <v>186</v>
      </c>
      <c r="X36" s="45" t="s">
        <v>269</v>
      </c>
    </row>
    <row r="37" spans="1:24" x14ac:dyDescent="0.25">
      <c r="A37" s="28" t="s">
        <v>129</v>
      </c>
      <c r="B37" s="20" t="s">
        <v>161</v>
      </c>
      <c r="C37" s="40" t="s">
        <v>144</v>
      </c>
      <c r="D37" s="41" t="s">
        <v>412</v>
      </c>
      <c r="E37" s="20" t="s">
        <v>297</v>
      </c>
      <c r="F37" s="20" t="s">
        <v>413</v>
      </c>
      <c r="G37" s="40" t="s">
        <v>164</v>
      </c>
      <c r="H37" s="42" t="s">
        <v>414</v>
      </c>
      <c r="I37" s="40" t="s">
        <v>433</v>
      </c>
      <c r="J37" s="20" t="s">
        <v>564</v>
      </c>
      <c r="K37" s="40" t="s">
        <v>435</v>
      </c>
      <c r="L37" s="20" t="s">
        <v>565</v>
      </c>
      <c r="M37" s="40" t="s">
        <v>437</v>
      </c>
      <c r="N37" s="42" t="s">
        <v>566</v>
      </c>
      <c r="O37" s="40" t="s">
        <v>586</v>
      </c>
      <c r="P37" s="42" t="s">
        <v>719</v>
      </c>
      <c r="Q37" s="20" t="s">
        <v>588</v>
      </c>
      <c r="R37" s="42" t="s">
        <v>720</v>
      </c>
      <c r="S37" s="20" t="s">
        <v>590</v>
      </c>
      <c r="T37" s="42" t="s">
        <v>721</v>
      </c>
      <c r="U37" s="40" t="s">
        <v>270</v>
      </c>
      <c r="V37" s="42" t="s">
        <v>271</v>
      </c>
      <c r="W37" s="20" t="s">
        <v>182</v>
      </c>
      <c r="X37" s="42" t="s">
        <v>272</v>
      </c>
    </row>
    <row r="38" spans="1:24" x14ac:dyDescent="0.25">
      <c r="A38" s="29"/>
      <c r="B38" s="20" t="s">
        <v>162</v>
      </c>
      <c r="C38" s="40" t="s">
        <v>143</v>
      </c>
      <c r="D38" s="41" t="s">
        <v>415</v>
      </c>
      <c r="E38" s="20" t="s">
        <v>292</v>
      </c>
      <c r="F38" s="20" t="s">
        <v>416</v>
      </c>
      <c r="G38" s="40" t="s">
        <v>294</v>
      </c>
      <c r="H38" s="42" t="s">
        <v>417</v>
      </c>
      <c r="I38" s="40" t="s">
        <v>168</v>
      </c>
      <c r="J38" s="20" t="s">
        <v>567</v>
      </c>
      <c r="K38" s="40" t="s">
        <v>429</v>
      </c>
      <c r="L38" s="20" t="s">
        <v>568</v>
      </c>
      <c r="M38" s="40" t="s">
        <v>431</v>
      </c>
      <c r="N38" s="42" t="s">
        <v>569</v>
      </c>
      <c r="O38" s="40" t="s">
        <v>581</v>
      </c>
      <c r="P38" s="42" t="s">
        <v>722</v>
      </c>
      <c r="Q38" s="20" t="s">
        <v>583</v>
      </c>
      <c r="R38" s="42" t="s">
        <v>723</v>
      </c>
      <c r="S38" s="20" t="s">
        <v>584</v>
      </c>
      <c r="T38" s="42" t="s">
        <v>724</v>
      </c>
      <c r="U38" s="40" t="s">
        <v>177</v>
      </c>
      <c r="V38" s="42" t="s">
        <v>273</v>
      </c>
      <c r="W38" s="20" t="s">
        <v>178</v>
      </c>
      <c r="X38" s="42" t="s">
        <v>274</v>
      </c>
    </row>
    <row r="39" spans="1:24" ht="15.75" thickBot="1" x14ac:dyDescent="0.3">
      <c r="A39" s="30"/>
      <c r="B39" s="21" t="s">
        <v>163</v>
      </c>
      <c r="C39" s="43" t="s">
        <v>142</v>
      </c>
      <c r="D39" s="44" t="s">
        <v>167</v>
      </c>
      <c r="E39" s="21" t="s">
        <v>289</v>
      </c>
      <c r="F39" s="21" t="s">
        <v>167</v>
      </c>
      <c r="G39" s="43" t="s">
        <v>290</v>
      </c>
      <c r="H39" s="45" t="s">
        <v>167</v>
      </c>
      <c r="I39" s="43" t="s">
        <v>426</v>
      </c>
      <c r="J39" s="21" t="s">
        <v>167</v>
      </c>
      <c r="K39" s="43" t="s">
        <v>427</v>
      </c>
      <c r="L39" s="21" t="s">
        <v>167</v>
      </c>
      <c r="M39" s="43" t="s">
        <v>428</v>
      </c>
      <c r="N39" s="45" t="s">
        <v>167</v>
      </c>
      <c r="O39" s="43" t="s">
        <v>578</v>
      </c>
      <c r="P39" s="45" t="s">
        <v>167</v>
      </c>
      <c r="Q39" s="21" t="s">
        <v>579</v>
      </c>
      <c r="R39" s="45" t="s">
        <v>167</v>
      </c>
      <c r="S39" s="21" t="s">
        <v>580</v>
      </c>
      <c r="T39" s="45" t="s">
        <v>167</v>
      </c>
      <c r="U39" s="43" t="s">
        <v>175</v>
      </c>
      <c r="V39" s="45" t="s">
        <v>167</v>
      </c>
      <c r="W39" s="21" t="s">
        <v>176</v>
      </c>
      <c r="X39" s="45" t="s">
        <v>167</v>
      </c>
    </row>
  </sheetData>
  <sheetProtection algorithmName="SHA-512" hashValue="NAYmg3s6HGr9qQ0j8Xu+ZEK27woNfBIbq/ImzIi3/d2Q9O0ouoCDFRsm1s1RRgE7NogcO6ElUsyx2IhqfA+s3w==" saltValue="QYRQKWwkC0L3Wc4EDPpGhg==" spinCount="100000" sheet="1" objects="1" scenarios="1"/>
  <mergeCells count="23">
    <mergeCell ref="O1:P1"/>
    <mergeCell ref="Q1:R1"/>
    <mergeCell ref="S1:T1"/>
    <mergeCell ref="U1:V1"/>
    <mergeCell ref="W1:X1"/>
    <mergeCell ref="A31:A33"/>
    <mergeCell ref="A34:A36"/>
    <mergeCell ref="A37:A39"/>
    <mergeCell ref="I1:J1"/>
    <mergeCell ref="K1:L1"/>
    <mergeCell ref="M1:N1"/>
    <mergeCell ref="A13:A15"/>
    <mergeCell ref="A16:A18"/>
    <mergeCell ref="A19:A21"/>
    <mergeCell ref="A22:A24"/>
    <mergeCell ref="A25:A27"/>
    <mergeCell ref="A28:A30"/>
    <mergeCell ref="C1:D1"/>
    <mergeCell ref="E1:F1"/>
    <mergeCell ref="G1:H1"/>
    <mergeCell ref="A4:A6"/>
    <mergeCell ref="A7:A9"/>
    <mergeCell ref="A10:A1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EDEC-570E-43A0-9E45-5859C4227AAC}">
  <dimension ref="A1:F10"/>
  <sheetViews>
    <sheetView workbookViewId="0"/>
  </sheetViews>
  <sheetFormatPr defaultRowHeight="15" x14ac:dyDescent="0.25"/>
  <cols>
    <col min="1" max="1" width="8.42578125" bestFit="1" customWidth="1"/>
    <col min="2" max="2" width="16.7109375" bestFit="1" customWidth="1"/>
    <col min="3" max="3" width="15.7109375" bestFit="1" customWidth="1"/>
    <col min="4" max="4" width="12.85546875" bestFit="1" customWidth="1"/>
    <col min="5" max="5" width="13" bestFit="1" customWidth="1"/>
    <col min="6" max="6" width="14.140625" bestFit="1" customWidth="1"/>
  </cols>
  <sheetData>
    <row r="1" spans="1:6" ht="33" customHeight="1" x14ac:dyDescent="0.25">
      <c r="A1" s="2" t="s">
        <v>131</v>
      </c>
      <c r="B1" s="3" t="s">
        <v>152</v>
      </c>
      <c r="C1" s="2" t="s">
        <v>132</v>
      </c>
      <c r="D1" s="2" t="s">
        <v>102</v>
      </c>
      <c r="E1" s="2" t="s">
        <v>103</v>
      </c>
      <c r="F1" s="3" t="s">
        <v>151</v>
      </c>
    </row>
    <row r="2" spans="1:6" x14ac:dyDescent="0.25">
      <c r="A2" s="2">
        <v>10</v>
      </c>
      <c r="B2" s="2" t="s">
        <v>142</v>
      </c>
      <c r="C2" s="2" t="s">
        <v>133</v>
      </c>
      <c r="D2" s="2">
        <v>9</v>
      </c>
      <c r="E2" s="2">
        <v>10</v>
      </c>
      <c r="F2" s="2">
        <f>Table_0__2[[#This Row],[Degrees]]+Table_0__2[[#This Row],[Minutes]]/60</f>
        <v>9.1666666666666661</v>
      </c>
    </row>
    <row r="3" spans="1:6" x14ac:dyDescent="0.25">
      <c r="A3" s="2">
        <v>20</v>
      </c>
      <c r="B3" s="2" t="s">
        <v>143</v>
      </c>
      <c r="C3" s="2" t="s">
        <v>134</v>
      </c>
      <c r="D3" s="2">
        <v>9</v>
      </c>
      <c r="E3" s="2">
        <v>15</v>
      </c>
      <c r="F3" s="2">
        <f>Table_0__2[[#This Row],[Degrees]]+Table_0__2[[#This Row],[Minutes]]/60</f>
        <v>9.25</v>
      </c>
    </row>
    <row r="4" spans="1:6" x14ac:dyDescent="0.25">
      <c r="A4" s="2">
        <v>30</v>
      </c>
      <c r="B4" s="2" t="s">
        <v>144</v>
      </c>
      <c r="C4" s="2" t="s">
        <v>135</v>
      </c>
      <c r="D4" s="2">
        <v>9</v>
      </c>
      <c r="E4" s="2">
        <v>25</v>
      </c>
      <c r="F4" s="2">
        <f>Table_0__2[[#This Row],[Degrees]]+Table_0__2[[#This Row],[Minutes]]/60</f>
        <v>9.4166666666666661</v>
      </c>
    </row>
    <row r="5" spans="1:6" x14ac:dyDescent="0.25">
      <c r="A5" s="2">
        <v>40</v>
      </c>
      <c r="B5" s="2" t="s">
        <v>145</v>
      </c>
      <c r="C5" s="2" t="s">
        <v>136</v>
      </c>
      <c r="D5" s="2">
        <v>9</v>
      </c>
      <c r="E5" s="2">
        <v>40</v>
      </c>
      <c r="F5" s="2">
        <f>Table_0__2[[#This Row],[Degrees]]+Table_0__2[[#This Row],[Minutes]]/60</f>
        <v>9.6666666666666661</v>
      </c>
    </row>
    <row r="6" spans="1:6" x14ac:dyDescent="0.25">
      <c r="A6" s="2">
        <v>50</v>
      </c>
      <c r="B6" s="2" t="s">
        <v>146</v>
      </c>
      <c r="C6" s="2" t="s">
        <v>137</v>
      </c>
      <c r="D6" s="2">
        <v>9</v>
      </c>
      <c r="E6" s="2">
        <v>58</v>
      </c>
      <c r="F6" s="2">
        <f>Table_0__2[[#This Row],[Degrees]]+Table_0__2[[#This Row],[Minutes]]/60</f>
        <v>9.9666666666666668</v>
      </c>
    </row>
    <row r="7" spans="1:6" x14ac:dyDescent="0.25">
      <c r="A7" s="2">
        <v>60</v>
      </c>
      <c r="B7" s="2" t="s">
        <v>147</v>
      </c>
      <c r="C7" s="2" t="s">
        <v>138</v>
      </c>
      <c r="D7" s="2">
        <v>10</v>
      </c>
      <c r="E7" s="2">
        <v>16</v>
      </c>
      <c r="F7" s="2">
        <f>Table_0__2[[#This Row],[Degrees]]+Table_0__2[[#This Row],[Minutes]]/60</f>
        <v>10.266666666666667</v>
      </c>
    </row>
    <row r="8" spans="1:6" x14ac:dyDescent="0.25">
      <c r="A8" s="2">
        <v>70</v>
      </c>
      <c r="B8" s="2" t="s">
        <v>148</v>
      </c>
      <c r="C8" s="2" t="s">
        <v>139</v>
      </c>
      <c r="D8" s="2">
        <v>10</v>
      </c>
      <c r="E8" s="2">
        <v>34</v>
      </c>
      <c r="F8" s="2">
        <f>Table_0__2[[#This Row],[Degrees]]+Table_0__2[[#This Row],[Minutes]]/60</f>
        <v>10.566666666666666</v>
      </c>
    </row>
    <row r="9" spans="1:6" x14ac:dyDescent="0.25">
      <c r="A9" s="2">
        <v>80</v>
      </c>
      <c r="B9" s="2" t="s">
        <v>149</v>
      </c>
      <c r="C9" s="2" t="s">
        <v>140</v>
      </c>
      <c r="D9" s="2">
        <v>10</v>
      </c>
      <c r="E9" s="2">
        <v>47</v>
      </c>
      <c r="F9" s="2">
        <f>Table_0__2[[#This Row],[Degrees]]+Table_0__2[[#This Row],[Minutes]]/60</f>
        <v>10.783333333333333</v>
      </c>
    </row>
    <row r="10" spans="1:6" x14ac:dyDescent="0.25">
      <c r="A10" s="2">
        <v>90</v>
      </c>
      <c r="B10" s="2" t="s">
        <v>150</v>
      </c>
      <c r="C10" s="2" t="s">
        <v>141</v>
      </c>
      <c r="D10" s="2">
        <v>10</v>
      </c>
      <c r="E10" s="2">
        <v>55</v>
      </c>
      <c r="F10" s="2">
        <f>Table_0__2[[#This Row],[Degrees]]+Table_0__2[[#This Row],[Minutes]]/60</f>
        <v>10.916666666666666</v>
      </c>
    </row>
  </sheetData>
  <sheetProtection algorithmName="SHA-512" hashValue="2lV4B8CYhxfgiEdHXKzVzGXwSkxGby5YupfoPuWHLzM69M8jtjtY6brQT3zBexZOPmdC9dIroDz5pfzQ8BQqsA==" saltValue="fLcqyTgoR1yQp+VjK1XGaQ==" spinCount="100000"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63FE-677A-4594-83CD-83904D70E0A4}">
  <dimension ref="A1:F91"/>
  <sheetViews>
    <sheetView workbookViewId="0">
      <selection activeCell="G1" sqref="G1"/>
    </sheetView>
  </sheetViews>
  <sheetFormatPr defaultRowHeight="15" x14ac:dyDescent="0.25"/>
  <cols>
    <col min="1" max="1" width="13.5703125" customWidth="1"/>
    <col min="2" max="2" width="19.7109375" bestFit="1" customWidth="1"/>
    <col min="3" max="3" width="12.85546875" bestFit="1" customWidth="1"/>
    <col min="4" max="4" width="13" bestFit="1" customWidth="1"/>
    <col min="5" max="5" width="12.85546875" bestFit="1" customWidth="1"/>
    <col min="6" max="6" width="18.28515625" customWidth="1"/>
  </cols>
  <sheetData>
    <row r="1" spans="1:6" ht="33" customHeight="1" x14ac:dyDescent="0.25">
      <c r="A1" s="4" t="s">
        <v>10</v>
      </c>
      <c r="B1" s="4" t="s">
        <v>101</v>
      </c>
      <c r="C1" s="1" t="s">
        <v>102</v>
      </c>
      <c r="D1" s="1" t="s">
        <v>103</v>
      </c>
      <c r="E1" s="1" t="s">
        <v>104</v>
      </c>
      <c r="F1" s="4" t="s">
        <v>105</v>
      </c>
    </row>
    <row r="2" spans="1:6" x14ac:dyDescent="0.25">
      <c r="A2" s="1">
        <v>1</v>
      </c>
      <c r="B2" s="2" t="s">
        <v>11</v>
      </c>
      <c r="C2" s="1" t="str">
        <f t="shared" ref="C2:C33" si="0">LEFT(B2, FIND(";", B2&amp;";")-1)</f>
        <v>0</v>
      </c>
      <c r="D2" s="1">
        <f t="shared" ref="D2:D33" si="1">MID(B2,SEARCH(";",B2)+1,SEARCH(",",B2)-SEARCH(";",B2)-1)+0</f>
        <v>24</v>
      </c>
      <c r="E2" s="2" t="str">
        <f t="shared" ref="E2:E33" si="2">RIGHT(B2, LEN(B2)-FIND(",", B2))</f>
        <v>16</v>
      </c>
      <c r="F2" s="2">
        <f>Table_0[[#This Row],[Degrees]]+Table_0[[#This Row],[Minutes]]/60+Table_0[[#This Row],[Seconds]]/3600</f>
        <v>0.40444444444444444</v>
      </c>
    </row>
    <row r="3" spans="1:6" x14ac:dyDescent="0.25">
      <c r="A3" s="1">
        <v>2</v>
      </c>
      <c r="B3" s="2" t="s">
        <v>12</v>
      </c>
      <c r="C3" s="1" t="str">
        <f t="shared" si="0"/>
        <v>0</v>
      </c>
      <c r="D3" s="1">
        <f t="shared" si="1"/>
        <v>48</v>
      </c>
      <c r="E3" s="2" t="str">
        <f t="shared" si="2"/>
        <v>31</v>
      </c>
      <c r="F3" s="2">
        <f>Table_0[[#This Row],[Degrees]]+Table_0[[#This Row],[Minutes]]/60+Table_0[[#This Row],[Seconds]]/3600</f>
        <v>0.80861111111111117</v>
      </c>
    </row>
    <row r="4" spans="1:6" x14ac:dyDescent="0.25">
      <c r="A4" s="1">
        <v>3</v>
      </c>
      <c r="B4" s="2" t="s">
        <v>13</v>
      </c>
      <c r="C4" s="1" t="str">
        <f t="shared" si="0"/>
        <v>1</v>
      </c>
      <c r="D4" s="1">
        <f t="shared" si="1"/>
        <v>12</v>
      </c>
      <c r="E4" s="2" t="str">
        <f t="shared" si="2"/>
        <v>46</v>
      </c>
      <c r="F4" s="2">
        <f>Table_0[[#This Row],[Degrees]]+Table_0[[#This Row],[Minutes]]/60+Table_0[[#This Row],[Seconds]]/3600</f>
        <v>1.2127777777777777</v>
      </c>
    </row>
    <row r="5" spans="1:6" x14ac:dyDescent="0.25">
      <c r="A5" s="1">
        <v>4</v>
      </c>
      <c r="B5" s="2" t="s">
        <v>14</v>
      </c>
      <c r="C5" s="1" t="str">
        <f t="shared" si="0"/>
        <v>1</v>
      </c>
      <c r="D5" s="1">
        <f t="shared" si="1"/>
        <v>37</v>
      </c>
      <c r="E5" s="2" t="str">
        <f t="shared" si="2"/>
        <v>0</v>
      </c>
      <c r="F5" s="2">
        <f>Table_0[[#This Row],[Degrees]]+Table_0[[#This Row],[Minutes]]/60+Table_0[[#This Row],[Seconds]]/3600</f>
        <v>1.6166666666666667</v>
      </c>
    </row>
    <row r="6" spans="1:6" x14ac:dyDescent="0.25">
      <c r="A6" s="1">
        <v>5</v>
      </c>
      <c r="B6" s="2" t="s">
        <v>15</v>
      </c>
      <c r="C6" s="1" t="str">
        <f t="shared" si="0"/>
        <v>2</v>
      </c>
      <c r="D6" s="1">
        <f t="shared" si="1"/>
        <v>1</v>
      </c>
      <c r="E6" s="2" t="str">
        <f t="shared" si="2"/>
        <v>12</v>
      </c>
      <c r="F6" s="2">
        <f>Table_0[[#This Row],[Degrees]]+Table_0[[#This Row],[Minutes]]/60+Table_0[[#This Row],[Seconds]]/3600</f>
        <v>2.02</v>
      </c>
    </row>
    <row r="7" spans="1:6" x14ac:dyDescent="0.25">
      <c r="A7" s="1">
        <v>6</v>
      </c>
      <c r="B7" s="2" t="s">
        <v>16</v>
      </c>
      <c r="C7" s="1" t="str">
        <f t="shared" si="0"/>
        <v>2</v>
      </c>
      <c r="D7" s="1">
        <f t="shared" si="1"/>
        <v>25</v>
      </c>
      <c r="E7" s="2" t="str">
        <f t="shared" si="2"/>
        <v>22</v>
      </c>
      <c r="F7" s="2">
        <f>Table_0[[#This Row],[Degrees]]+Table_0[[#This Row],[Minutes]]/60+Table_0[[#This Row],[Seconds]]/3600</f>
        <v>2.4227777777777777</v>
      </c>
    </row>
    <row r="8" spans="1:6" x14ac:dyDescent="0.25">
      <c r="A8" s="1">
        <v>7</v>
      </c>
      <c r="B8" s="2" t="s">
        <v>17</v>
      </c>
      <c r="C8" s="1" t="str">
        <f t="shared" si="0"/>
        <v>2</v>
      </c>
      <c r="D8" s="1">
        <f t="shared" si="1"/>
        <v>49</v>
      </c>
      <c r="E8" s="2" t="str">
        <f t="shared" si="2"/>
        <v>30</v>
      </c>
      <c r="F8" s="2">
        <f>Table_0[[#This Row],[Degrees]]+Table_0[[#This Row],[Minutes]]/60+Table_0[[#This Row],[Seconds]]/3600</f>
        <v>2.8249999999999997</v>
      </c>
    </row>
    <row r="9" spans="1:6" x14ac:dyDescent="0.25">
      <c r="A9" s="1">
        <v>8</v>
      </c>
      <c r="B9" s="2" t="s">
        <v>18</v>
      </c>
      <c r="C9" s="1" t="str">
        <f t="shared" si="0"/>
        <v>3</v>
      </c>
      <c r="D9" s="1">
        <f t="shared" si="1"/>
        <v>13</v>
      </c>
      <c r="E9" s="2" t="str">
        <f t="shared" si="2"/>
        <v>35</v>
      </c>
      <c r="F9" s="2">
        <f>Table_0[[#This Row],[Degrees]]+Table_0[[#This Row],[Minutes]]/60+Table_0[[#This Row],[Seconds]]/3600</f>
        <v>3.2263888888888892</v>
      </c>
    </row>
    <row r="10" spans="1:6" x14ac:dyDescent="0.25">
      <c r="A10" s="1">
        <v>9</v>
      </c>
      <c r="B10" s="2" t="s">
        <v>19</v>
      </c>
      <c r="C10" s="1" t="str">
        <f t="shared" si="0"/>
        <v>3</v>
      </c>
      <c r="D10" s="1">
        <f t="shared" si="1"/>
        <v>37</v>
      </c>
      <c r="E10" s="2" t="str">
        <f t="shared" si="2"/>
        <v>37</v>
      </c>
      <c r="F10" s="2">
        <f>Table_0[[#This Row],[Degrees]]+Table_0[[#This Row],[Minutes]]/60+Table_0[[#This Row],[Seconds]]/3600</f>
        <v>3.6269444444444443</v>
      </c>
    </row>
    <row r="11" spans="1:6" x14ac:dyDescent="0.25">
      <c r="A11" s="1">
        <v>10</v>
      </c>
      <c r="B11" s="2" t="s">
        <v>20</v>
      </c>
      <c r="C11" s="1" t="str">
        <f t="shared" si="0"/>
        <v>4</v>
      </c>
      <c r="D11" s="1">
        <f t="shared" si="1"/>
        <v>1</v>
      </c>
      <c r="E11" s="2" t="str">
        <f t="shared" si="2"/>
        <v>38</v>
      </c>
      <c r="F11" s="2">
        <f>Table_0[[#This Row],[Degrees]]+Table_0[[#This Row],[Minutes]]/60+Table_0[[#This Row],[Seconds]]/3600</f>
        <v>4.027222222222222</v>
      </c>
    </row>
    <row r="12" spans="1:6" x14ac:dyDescent="0.25">
      <c r="A12" s="1">
        <v>11</v>
      </c>
      <c r="B12" s="2" t="s">
        <v>21</v>
      </c>
      <c r="C12" s="1" t="str">
        <f t="shared" si="0"/>
        <v>4</v>
      </c>
      <c r="D12" s="1">
        <f t="shared" si="1"/>
        <v>25</v>
      </c>
      <c r="E12" s="2" t="str">
        <f t="shared" si="2"/>
        <v>32</v>
      </c>
      <c r="F12" s="2">
        <f>Table_0[[#This Row],[Degrees]]+Table_0[[#This Row],[Minutes]]/60+Table_0[[#This Row],[Seconds]]/3600</f>
        <v>4.4255555555555555</v>
      </c>
    </row>
    <row r="13" spans="1:6" x14ac:dyDescent="0.25">
      <c r="A13" s="1">
        <v>12</v>
      </c>
      <c r="B13" s="2" t="s">
        <v>22</v>
      </c>
      <c r="C13" s="1" t="str">
        <f t="shared" si="0"/>
        <v>4</v>
      </c>
      <c r="D13" s="1">
        <f t="shared" si="1"/>
        <v>49</v>
      </c>
      <c r="E13" s="2" t="str">
        <f t="shared" si="2"/>
        <v>24</v>
      </c>
      <c r="F13" s="2">
        <f>Table_0[[#This Row],[Degrees]]+Table_0[[#This Row],[Minutes]]/60+Table_0[[#This Row],[Seconds]]/3600</f>
        <v>4.8233333333333333</v>
      </c>
    </row>
    <row r="14" spans="1:6" x14ac:dyDescent="0.25">
      <c r="A14" s="1">
        <v>13</v>
      </c>
      <c r="B14" s="2" t="s">
        <v>23</v>
      </c>
      <c r="C14" s="1" t="str">
        <f t="shared" si="0"/>
        <v>5</v>
      </c>
      <c r="D14" s="1">
        <f t="shared" si="1"/>
        <v>13</v>
      </c>
      <c r="E14" s="2" t="str">
        <f t="shared" si="2"/>
        <v>11</v>
      </c>
      <c r="F14" s="2">
        <f>Table_0[[#This Row],[Degrees]]+Table_0[[#This Row],[Minutes]]/60+Table_0[[#This Row],[Seconds]]/3600</f>
        <v>5.2197222222222219</v>
      </c>
    </row>
    <row r="15" spans="1:6" x14ac:dyDescent="0.25">
      <c r="A15" s="1">
        <v>14</v>
      </c>
      <c r="B15" s="2" t="s">
        <v>24</v>
      </c>
      <c r="C15" s="1" t="str">
        <f t="shared" si="0"/>
        <v>5</v>
      </c>
      <c r="D15" s="1">
        <f t="shared" si="1"/>
        <v>36</v>
      </c>
      <c r="E15" s="2" t="str">
        <f t="shared" si="2"/>
        <v>53</v>
      </c>
      <c r="F15" s="2">
        <f>Table_0[[#This Row],[Degrees]]+Table_0[[#This Row],[Minutes]]/60+Table_0[[#This Row],[Seconds]]/3600</f>
        <v>5.6147222222222215</v>
      </c>
    </row>
    <row r="16" spans="1:6" x14ac:dyDescent="0.25">
      <c r="A16" s="1">
        <v>15</v>
      </c>
      <c r="B16" s="2" t="s">
        <v>25</v>
      </c>
      <c r="C16" s="1" t="str">
        <f t="shared" si="0"/>
        <v>6</v>
      </c>
      <c r="D16" s="1">
        <f t="shared" si="1"/>
        <v>0</v>
      </c>
      <c r="E16" s="2" t="str">
        <f t="shared" si="2"/>
        <v>31</v>
      </c>
      <c r="F16" s="2">
        <f>Table_0[[#This Row],[Degrees]]+Table_0[[#This Row],[Minutes]]/60+Table_0[[#This Row],[Seconds]]/3600</f>
        <v>6.0086111111111107</v>
      </c>
    </row>
    <row r="17" spans="1:6" x14ac:dyDescent="0.25">
      <c r="A17" s="1">
        <v>16</v>
      </c>
      <c r="B17" s="2" t="s">
        <v>26</v>
      </c>
      <c r="C17" s="1" t="str">
        <f t="shared" si="0"/>
        <v>6</v>
      </c>
      <c r="D17" s="1">
        <f t="shared" si="1"/>
        <v>24</v>
      </c>
      <c r="E17" s="2" t="str">
        <f t="shared" si="2"/>
        <v>1</v>
      </c>
      <c r="F17" s="2">
        <f>Table_0[[#This Row],[Degrees]]+Table_0[[#This Row],[Minutes]]/60+Table_0[[#This Row],[Seconds]]/3600</f>
        <v>6.4002777777777782</v>
      </c>
    </row>
    <row r="18" spans="1:6" x14ac:dyDescent="0.25">
      <c r="A18" s="1">
        <v>17</v>
      </c>
      <c r="B18" s="2" t="s">
        <v>27</v>
      </c>
      <c r="C18" s="1" t="str">
        <f t="shared" si="0"/>
        <v>6</v>
      </c>
      <c r="D18" s="1">
        <f t="shared" si="1"/>
        <v>47</v>
      </c>
      <c r="E18" s="2" t="str">
        <f t="shared" si="2"/>
        <v>26</v>
      </c>
      <c r="F18" s="2">
        <f>Table_0[[#This Row],[Degrees]]+Table_0[[#This Row],[Minutes]]/60+Table_0[[#This Row],[Seconds]]/3600</f>
        <v>6.7905555555555557</v>
      </c>
    </row>
    <row r="19" spans="1:6" x14ac:dyDescent="0.25">
      <c r="A19" s="1">
        <v>18</v>
      </c>
      <c r="B19" s="2" t="s">
        <v>28</v>
      </c>
      <c r="C19" s="1" t="str">
        <f t="shared" si="0"/>
        <v>7</v>
      </c>
      <c r="D19" s="1">
        <f t="shared" si="1"/>
        <v>10</v>
      </c>
      <c r="E19" s="2" t="str">
        <f t="shared" si="2"/>
        <v>45</v>
      </c>
      <c r="F19" s="2">
        <f>Table_0[[#This Row],[Degrees]]+Table_0[[#This Row],[Minutes]]/60+Table_0[[#This Row],[Seconds]]/3600</f>
        <v>7.1791666666666671</v>
      </c>
    </row>
    <row r="20" spans="1:6" x14ac:dyDescent="0.25">
      <c r="A20" s="1">
        <v>19</v>
      </c>
      <c r="B20" s="2" t="s">
        <v>29</v>
      </c>
      <c r="C20" s="1" t="str">
        <f t="shared" si="0"/>
        <v>7</v>
      </c>
      <c r="D20" s="1">
        <f t="shared" si="1"/>
        <v>33</v>
      </c>
      <c r="E20" s="2" t="str">
        <f t="shared" si="2"/>
        <v>57</v>
      </c>
      <c r="F20" s="2">
        <f>Table_0[[#This Row],[Degrees]]+Table_0[[#This Row],[Minutes]]/60+Table_0[[#This Row],[Seconds]]/3600</f>
        <v>7.565833333333333</v>
      </c>
    </row>
    <row r="21" spans="1:6" x14ac:dyDescent="0.25">
      <c r="A21" s="1">
        <v>20</v>
      </c>
      <c r="B21" s="2" t="s">
        <v>30</v>
      </c>
      <c r="C21" s="1" t="str">
        <f t="shared" si="0"/>
        <v>7</v>
      </c>
      <c r="D21" s="1">
        <f t="shared" si="1"/>
        <v>57</v>
      </c>
      <c r="E21" s="2" t="str">
        <f t="shared" si="2"/>
        <v>3</v>
      </c>
      <c r="F21" s="2">
        <f>Table_0[[#This Row],[Degrees]]+Table_0[[#This Row],[Minutes]]/60+Table_0[[#This Row],[Seconds]]/3600</f>
        <v>7.9508333333333336</v>
      </c>
    </row>
    <row r="22" spans="1:6" x14ac:dyDescent="0.25">
      <c r="A22" s="1">
        <v>21</v>
      </c>
      <c r="B22" s="2" t="s">
        <v>31</v>
      </c>
      <c r="C22" s="1" t="str">
        <f t="shared" si="0"/>
        <v>8</v>
      </c>
      <c r="D22" s="1">
        <f t="shared" si="1"/>
        <v>20</v>
      </c>
      <c r="E22" s="2" t="str">
        <f t="shared" si="2"/>
        <v>0</v>
      </c>
      <c r="F22" s="2">
        <f>Table_0[[#This Row],[Degrees]]+Table_0[[#This Row],[Minutes]]/60+Table_0[[#This Row],[Seconds]]/3600</f>
        <v>8.3333333333333339</v>
      </c>
    </row>
    <row r="23" spans="1:6" x14ac:dyDescent="0.25">
      <c r="A23" s="1">
        <v>22</v>
      </c>
      <c r="B23" s="2" t="s">
        <v>32</v>
      </c>
      <c r="C23" s="1" t="str">
        <f t="shared" si="0"/>
        <v>8</v>
      </c>
      <c r="D23" s="1">
        <f t="shared" si="1"/>
        <v>42</v>
      </c>
      <c r="E23" s="2" t="str">
        <f t="shared" si="2"/>
        <v>50</v>
      </c>
      <c r="F23" s="2">
        <f>Table_0[[#This Row],[Degrees]]+Table_0[[#This Row],[Minutes]]/60+Table_0[[#This Row],[Seconds]]/3600</f>
        <v>8.7138888888888886</v>
      </c>
    </row>
    <row r="24" spans="1:6" x14ac:dyDescent="0.25">
      <c r="A24" s="1">
        <v>23</v>
      </c>
      <c r="B24" s="2" t="s">
        <v>33</v>
      </c>
      <c r="C24" s="1" t="str">
        <f t="shared" si="0"/>
        <v>9</v>
      </c>
      <c r="D24" s="1">
        <f t="shared" si="1"/>
        <v>5</v>
      </c>
      <c r="E24" s="2" t="str">
        <f t="shared" si="2"/>
        <v>32</v>
      </c>
      <c r="F24" s="2">
        <f>Table_0[[#This Row],[Degrees]]+Table_0[[#This Row],[Minutes]]/60+Table_0[[#This Row],[Seconds]]/3600</f>
        <v>9.0922222222222224</v>
      </c>
    </row>
    <row r="25" spans="1:6" x14ac:dyDescent="0.25">
      <c r="A25" s="1">
        <v>24</v>
      </c>
      <c r="B25" s="2" t="s">
        <v>34</v>
      </c>
      <c r="C25" s="1" t="str">
        <f t="shared" si="0"/>
        <v>9</v>
      </c>
      <c r="D25" s="1">
        <f t="shared" si="1"/>
        <v>28</v>
      </c>
      <c r="E25" s="2" t="str">
        <f t="shared" si="2"/>
        <v>5</v>
      </c>
      <c r="F25" s="2">
        <f>Table_0[[#This Row],[Degrees]]+Table_0[[#This Row],[Minutes]]/60+Table_0[[#This Row],[Seconds]]/3600</f>
        <v>9.468055555555555</v>
      </c>
    </row>
    <row r="26" spans="1:6" x14ac:dyDescent="0.25">
      <c r="A26" s="1">
        <v>25</v>
      </c>
      <c r="B26" s="2" t="s">
        <v>35</v>
      </c>
      <c r="C26" s="1" t="str">
        <f t="shared" si="0"/>
        <v>9</v>
      </c>
      <c r="D26" s="1">
        <f t="shared" si="1"/>
        <v>50</v>
      </c>
      <c r="E26" s="2" t="str">
        <f t="shared" si="2"/>
        <v>29</v>
      </c>
      <c r="F26" s="2">
        <f>Table_0[[#This Row],[Degrees]]+Table_0[[#This Row],[Minutes]]/60+Table_0[[#This Row],[Seconds]]/3600</f>
        <v>9.8413888888888899</v>
      </c>
    </row>
    <row r="27" spans="1:6" x14ac:dyDescent="0.25">
      <c r="A27" s="1">
        <v>26</v>
      </c>
      <c r="B27" s="2" t="s">
        <v>36</v>
      </c>
      <c r="C27" s="1" t="str">
        <f t="shared" si="0"/>
        <v>10</v>
      </c>
      <c r="D27" s="1">
        <f t="shared" si="1"/>
        <v>12</v>
      </c>
      <c r="E27" s="2" t="str">
        <f t="shared" si="2"/>
        <v>46</v>
      </c>
      <c r="F27" s="2">
        <f>Table_0[[#This Row],[Degrees]]+Table_0[[#This Row],[Minutes]]/60+Table_0[[#This Row],[Seconds]]/3600</f>
        <v>10.212777777777777</v>
      </c>
    </row>
    <row r="28" spans="1:6" x14ac:dyDescent="0.25">
      <c r="A28" s="1">
        <v>27</v>
      </c>
      <c r="B28" s="2" t="s">
        <v>37</v>
      </c>
      <c r="C28" s="1" t="str">
        <f t="shared" si="0"/>
        <v>10</v>
      </c>
      <c r="D28" s="1">
        <f t="shared" si="1"/>
        <v>34</v>
      </c>
      <c r="E28" s="2" t="str">
        <f t="shared" si="2"/>
        <v>57</v>
      </c>
      <c r="F28" s="2">
        <f>Table_0[[#This Row],[Degrees]]+Table_0[[#This Row],[Minutes]]/60+Table_0[[#This Row],[Seconds]]/3600</f>
        <v>10.5825</v>
      </c>
    </row>
    <row r="29" spans="1:6" x14ac:dyDescent="0.25">
      <c r="A29" s="1">
        <v>28</v>
      </c>
      <c r="B29" s="2" t="s">
        <v>38</v>
      </c>
      <c r="C29" s="1" t="str">
        <f t="shared" si="0"/>
        <v>10</v>
      </c>
      <c r="D29" s="1">
        <f t="shared" si="1"/>
        <v>56</v>
      </c>
      <c r="E29" s="2" t="str">
        <f t="shared" si="2"/>
        <v>44</v>
      </c>
      <c r="F29" s="2">
        <f>Table_0[[#This Row],[Degrees]]+Table_0[[#This Row],[Minutes]]/60+Table_0[[#This Row],[Seconds]]/3600</f>
        <v>10.945555555555556</v>
      </c>
    </row>
    <row r="30" spans="1:6" x14ac:dyDescent="0.25">
      <c r="A30" s="1">
        <v>29</v>
      </c>
      <c r="B30" s="2" t="s">
        <v>39</v>
      </c>
      <c r="C30" s="1" t="str">
        <f t="shared" si="0"/>
        <v>11</v>
      </c>
      <c r="D30" s="1">
        <f t="shared" si="1"/>
        <v>18</v>
      </c>
      <c r="E30" s="2" t="str">
        <f t="shared" si="2"/>
        <v>25</v>
      </c>
      <c r="F30" s="2">
        <f>Table_0[[#This Row],[Degrees]]+Table_0[[#This Row],[Minutes]]/60+Table_0[[#This Row],[Seconds]]/3600</f>
        <v>11.306944444444445</v>
      </c>
    </row>
    <row r="31" spans="1:6" x14ac:dyDescent="0.25">
      <c r="A31" s="1">
        <v>30</v>
      </c>
      <c r="B31" s="2" t="s">
        <v>40</v>
      </c>
      <c r="C31" s="1" t="str">
        <f t="shared" si="0"/>
        <v>11</v>
      </c>
      <c r="D31" s="1">
        <f t="shared" si="1"/>
        <v>39</v>
      </c>
      <c r="E31" s="2" t="str">
        <f t="shared" si="2"/>
        <v>59</v>
      </c>
      <c r="F31" s="2">
        <f>Table_0[[#This Row],[Degrees]]+Table_0[[#This Row],[Minutes]]/60+Table_0[[#This Row],[Seconds]]/3600</f>
        <v>11.666388888888889</v>
      </c>
    </row>
    <row r="32" spans="1:6" x14ac:dyDescent="0.25">
      <c r="A32" s="1">
        <v>31</v>
      </c>
      <c r="B32" s="2" t="s">
        <v>41</v>
      </c>
      <c r="C32" s="1" t="str">
        <f t="shared" si="0"/>
        <v>12</v>
      </c>
      <c r="D32" s="1">
        <f t="shared" si="1"/>
        <v>1</v>
      </c>
      <c r="E32" s="2" t="str">
        <f t="shared" si="2"/>
        <v>20</v>
      </c>
      <c r="F32" s="2">
        <f>Table_0[[#This Row],[Degrees]]+Table_0[[#This Row],[Minutes]]/60+Table_0[[#This Row],[Seconds]]/3600</f>
        <v>12.022222222222224</v>
      </c>
    </row>
    <row r="33" spans="1:6" x14ac:dyDescent="0.25">
      <c r="A33" s="1">
        <v>32</v>
      </c>
      <c r="B33" s="2" t="s">
        <v>42</v>
      </c>
      <c r="C33" s="1" t="str">
        <f t="shared" si="0"/>
        <v>12</v>
      </c>
      <c r="D33" s="1">
        <f t="shared" si="1"/>
        <v>22</v>
      </c>
      <c r="E33" s="2" t="str">
        <f t="shared" si="2"/>
        <v>30</v>
      </c>
      <c r="F33" s="2">
        <f>Table_0[[#This Row],[Degrees]]+Table_0[[#This Row],[Minutes]]/60+Table_0[[#This Row],[Seconds]]/3600</f>
        <v>12.375</v>
      </c>
    </row>
    <row r="34" spans="1:6" x14ac:dyDescent="0.25">
      <c r="A34" s="1">
        <v>33</v>
      </c>
      <c r="B34" s="2" t="s">
        <v>43</v>
      </c>
      <c r="C34" s="1" t="str">
        <f t="shared" ref="C34:C65" si="3">LEFT(B34, FIND(";", B34&amp;";")-1)</f>
        <v>12</v>
      </c>
      <c r="D34" s="1">
        <f t="shared" ref="D34:D65" si="4">MID(B34,SEARCH(";",B34)+1,SEARCH(",",B34)-SEARCH(";",B34)-1)+0</f>
        <v>43</v>
      </c>
      <c r="E34" s="2" t="str">
        <f t="shared" ref="E34:E65" si="5">RIGHT(B34, LEN(B34)-FIND(",", B34))</f>
        <v>28</v>
      </c>
      <c r="F34" s="2">
        <f>Table_0[[#This Row],[Degrees]]+Table_0[[#This Row],[Minutes]]/60+Table_0[[#This Row],[Seconds]]/3600</f>
        <v>12.724444444444444</v>
      </c>
    </row>
    <row r="35" spans="1:6" x14ac:dyDescent="0.25">
      <c r="A35" s="1">
        <v>34</v>
      </c>
      <c r="B35" s="2" t="s">
        <v>44</v>
      </c>
      <c r="C35" s="1" t="str">
        <f t="shared" si="3"/>
        <v>13</v>
      </c>
      <c r="D35" s="1">
        <f t="shared" si="4"/>
        <v>4</v>
      </c>
      <c r="E35" s="2" t="str">
        <f t="shared" si="5"/>
        <v>14</v>
      </c>
      <c r="F35" s="2">
        <f>Table_0[[#This Row],[Degrees]]+Table_0[[#This Row],[Minutes]]/60+Table_0[[#This Row],[Seconds]]/3600</f>
        <v>13.070555555555556</v>
      </c>
    </row>
    <row r="36" spans="1:6" x14ac:dyDescent="0.25">
      <c r="A36" s="1">
        <v>35</v>
      </c>
      <c r="B36" s="2" t="s">
        <v>45</v>
      </c>
      <c r="C36" s="1" t="str">
        <f t="shared" si="3"/>
        <v>13</v>
      </c>
      <c r="D36" s="1">
        <f t="shared" si="4"/>
        <v>24</v>
      </c>
      <c r="E36" s="2" t="str">
        <f t="shared" si="5"/>
        <v>47</v>
      </c>
      <c r="F36" s="2">
        <f>Table_0[[#This Row],[Degrees]]+Table_0[[#This Row],[Minutes]]/60+Table_0[[#This Row],[Seconds]]/3600</f>
        <v>13.413055555555555</v>
      </c>
    </row>
    <row r="37" spans="1:6" x14ac:dyDescent="0.25">
      <c r="A37" s="1">
        <v>36</v>
      </c>
      <c r="B37" s="2" t="s">
        <v>46</v>
      </c>
      <c r="C37" s="1" t="str">
        <f t="shared" si="3"/>
        <v>13</v>
      </c>
      <c r="D37" s="1">
        <f t="shared" si="4"/>
        <v>45</v>
      </c>
      <c r="E37" s="2" t="str">
        <f t="shared" si="5"/>
        <v>6</v>
      </c>
      <c r="F37" s="2">
        <f>Table_0[[#This Row],[Degrees]]+Table_0[[#This Row],[Minutes]]/60+Table_0[[#This Row],[Seconds]]/3600</f>
        <v>13.751666666666667</v>
      </c>
    </row>
    <row r="38" spans="1:6" x14ac:dyDescent="0.25">
      <c r="A38" s="1">
        <v>37</v>
      </c>
      <c r="B38" s="2" t="s">
        <v>47</v>
      </c>
      <c r="C38" s="1" t="str">
        <f t="shared" si="3"/>
        <v>14</v>
      </c>
      <c r="D38" s="1">
        <f t="shared" si="4"/>
        <v>5</v>
      </c>
      <c r="E38" s="2" t="str">
        <f t="shared" si="5"/>
        <v>11</v>
      </c>
      <c r="F38" s="2">
        <f>Table_0[[#This Row],[Degrees]]+Table_0[[#This Row],[Minutes]]/60+Table_0[[#This Row],[Seconds]]/3600</f>
        <v>14.086388888888889</v>
      </c>
    </row>
    <row r="39" spans="1:6" x14ac:dyDescent="0.25">
      <c r="A39" s="1">
        <v>28</v>
      </c>
      <c r="B39" s="2" t="s">
        <v>48</v>
      </c>
      <c r="C39" s="1" t="str">
        <f t="shared" si="3"/>
        <v>14</v>
      </c>
      <c r="D39" s="1">
        <f t="shared" si="4"/>
        <v>25</v>
      </c>
      <c r="E39" s="2" t="str">
        <f t="shared" si="5"/>
        <v>2</v>
      </c>
      <c r="F39" s="2">
        <f>Table_0[[#This Row],[Degrees]]+Table_0[[#This Row],[Minutes]]/60+Table_0[[#This Row],[Seconds]]/3600</f>
        <v>14.417222222222222</v>
      </c>
    </row>
    <row r="40" spans="1:6" x14ac:dyDescent="0.25">
      <c r="A40" s="1">
        <v>39</v>
      </c>
      <c r="B40" s="2" t="s">
        <v>49</v>
      </c>
      <c r="C40" s="1" t="str">
        <f t="shared" si="3"/>
        <v>14</v>
      </c>
      <c r="D40" s="1">
        <f t="shared" si="4"/>
        <v>44</v>
      </c>
      <c r="E40" s="2" t="str">
        <f t="shared" si="5"/>
        <v>39</v>
      </c>
      <c r="F40" s="2">
        <f>Table_0[[#This Row],[Degrees]]+Table_0[[#This Row],[Minutes]]/60+Table_0[[#This Row],[Seconds]]/3600</f>
        <v>14.744166666666667</v>
      </c>
    </row>
    <row r="41" spans="1:6" x14ac:dyDescent="0.25">
      <c r="A41" s="1">
        <v>40</v>
      </c>
      <c r="B41" s="2" t="s">
        <v>50</v>
      </c>
      <c r="C41" s="1" t="str">
        <f t="shared" si="3"/>
        <v>15</v>
      </c>
      <c r="D41" s="1">
        <f t="shared" si="4"/>
        <v>4</v>
      </c>
      <c r="E41" s="2" t="str">
        <f t="shared" si="5"/>
        <v>4</v>
      </c>
      <c r="F41" s="2">
        <f>Table_0[[#This Row],[Degrees]]+Table_0[[#This Row],[Minutes]]/60+Table_0[[#This Row],[Seconds]]/3600</f>
        <v>15.067777777777778</v>
      </c>
    </row>
    <row r="42" spans="1:6" x14ac:dyDescent="0.25">
      <c r="A42" s="1">
        <v>41</v>
      </c>
      <c r="B42" s="2" t="s">
        <v>51</v>
      </c>
      <c r="C42" s="1" t="str">
        <f t="shared" si="3"/>
        <v>15</v>
      </c>
      <c r="D42" s="1">
        <f t="shared" si="4"/>
        <v>23</v>
      </c>
      <c r="E42" s="2" t="str">
        <f t="shared" si="5"/>
        <v>10</v>
      </c>
      <c r="F42" s="2">
        <f>Table_0[[#This Row],[Degrees]]+Table_0[[#This Row],[Minutes]]/60+Table_0[[#This Row],[Seconds]]/3600</f>
        <v>15.386111111111111</v>
      </c>
    </row>
    <row r="43" spans="1:6" x14ac:dyDescent="0.25">
      <c r="A43" s="1">
        <v>42</v>
      </c>
      <c r="B43" s="2" t="s">
        <v>52</v>
      </c>
      <c r="C43" s="1" t="str">
        <f t="shared" si="3"/>
        <v>15</v>
      </c>
      <c r="D43" s="1">
        <f t="shared" si="4"/>
        <v>42</v>
      </c>
      <c r="E43" s="2" t="str">
        <f t="shared" si="5"/>
        <v>2</v>
      </c>
      <c r="F43" s="2">
        <f>Table_0[[#This Row],[Degrees]]+Table_0[[#This Row],[Minutes]]/60+Table_0[[#This Row],[Seconds]]/3600</f>
        <v>15.700555555555555</v>
      </c>
    </row>
    <row r="44" spans="1:6" x14ac:dyDescent="0.25">
      <c r="A44" s="1">
        <v>43</v>
      </c>
      <c r="B44" s="2" t="s">
        <v>53</v>
      </c>
      <c r="C44" s="1" t="str">
        <f t="shared" si="3"/>
        <v>16</v>
      </c>
      <c r="D44" s="1">
        <f t="shared" si="4"/>
        <v>0</v>
      </c>
      <c r="E44" s="2" t="str">
        <f t="shared" si="5"/>
        <v>38</v>
      </c>
      <c r="F44" s="2">
        <f>Table_0[[#This Row],[Degrees]]+Table_0[[#This Row],[Minutes]]/60+Table_0[[#This Row],[Seconds]]/3600</f>
        <v>16.010555555555555</v>
      </c>
    </row>
    <row r="45" spans="1:6" x14ac:dyDescent="0.25">
      <c r="A45" s="1">
        <v>44</v>
      </c>
      <c r="B45" s="2" t="s">
        <v>54</v>
      </c>
      <c r="C45" s="1" t="str">
        <f t="shared" si="3"/>
        <v>16</v>
      </c>
      <c r="D45" s="1">
        <f t="shared" si="4"/>
        <v>18</v>
      </c>
      <c r="E45" s="2" t="str">
        <f t="shared" si="5"/>
        <v>58</v>
      </c>
      <c r="F45" s="2">
        <f>Table_0[[#This Row],[Degrees]]+Table_0[[#This Row],[Minutes]]/60+Table_0[[#This Row],[Seconds]]/3600</f>
        <v>16.316111111111113</v>
      </c>
    </row>
    <row r="46" spans="1:6" x14ac:dyDescent="0.25">
      <c r="A46" s="1">
        <v>45</v>
      </c>
      <c r="B46" s="2" t="s">
        <v>55</v>
      </c>
      <c r="C46" s="1" t="str">
        <f t="shared" si="3"/>
        <v>16</v>
      </c>
      <c r="D46" s="1">
        <f t="shared" si="4"/>
        <v>37</v>
      </c>
      <c r="E46" s="2" t="str">
        <f t="shared" si="5"/>
        <v>1</v>
      </c>
      <c r="F46" s="2">
        <f>Table_0[[#This Row],[Degrees]]+Table_0[[#This Row],[Minutes]]/60+Table_0[[#This Row],[Seconds]]/3600</f>
        <v>16.616944444444446</v>
      </c>
    </row>
    <row r="47" spans="1:6" x14ac:dyDescent="0.25">
      <c r="A47" s="1">
        <v>46</v>
      </c>
      <c r="B47" s="2" t="s">
        <v>56</v>
      </c>
      <c r="C47" s="1" t="str">
        <f t="shared" si="3"/>
        <v>16</v>
      </c>
      <c r="D47" s="1">
        <f t="shared" si="4"/>
        <v>54</v>
      </c>
      <c r="E47" s="2" t="str">
        <f t="shared" si="5"/>
        <v>47</v>
      </c>
      <c r="F47" s="2">
        <f>Table_0[[#This Row],[Degrees]]+Table_0[[#This Row],[Minutes]]/60+Table_0[[#This Row],[Seconds]]/3600</f>
        <v>16.913055555555555</v>
      </c>
    </row>
    <row r="48" spans="1:6" x14ac:dyDescent="0.25">
      <c r="A48" s="1">
        <v>47</v>
      </c>
      <c r="B48" s="2" t="s">
        <v>57</v>
      </c>
      <c r="C48" s="1" t="str">
        <f t="shared" si="3"/>
        <v>17</v>
      </c>
      <c r="D48" s="1">
        <f t="shared" si="4"/>
        <v>12</v>
      </c>
      <c r="E48" s="2" t="str">
        <f t="shared" si="5"/>
        <v>16</v>
      </c>
      <c r="F48" s="2">
        <f>Table_0[[#This Row],[Degrees]]+Table_0[[#This Row],[Minutes]]/60+Table_0[[#This Row],[Seconds]]/3600</f>
        <v>17.204444444444444</v>
      </c>
    </row>
    <row r="49" spans="1:6" x14ac:dyDescent="0.25">
      <c r="A49" s="1">
        <v>48</v>
      </c>
      <c r="B49" s="2" t="s">
        <v>58</v>
      </c>
      <c r="C49" s="1" t="str">
        <f t="shared" si="3"/>
        <v>17</v>
      </c>
      <c r="D49" s="1">
        <f t="shared" si="4"/>
        <v>29</v>
      </c>
      <c r="E49" s="2" t="str">
        <f t="shared" si="5"/>
        <v>27</v>
      </c>
      <c r="F49" s="2">
        <f>Table_0[[#This Row],[Degrees]]+Table_0[[#This Row],[Minutes]]/60+Table_0[[#This Row],[Seconds]]/3600</f>
        <v>17.490833333333335</v>
      </c>
    </row>
    <row r="50" spans="1:6" x14ac:dyDescent="0.25">
      <c r="A50" s="1">
        <v>49</v>
      </c>
      <c r="B50" s="2" t="s">
        <v>59</v>
      </c>
      <c r="C50" s="1" t="str">
        <f t="shared" si="3"/>
        <v>17</v>
      </c>
      <c r="D50" s="1">
        <f t="shared" si="4"/>
        <v>46</v>
      </c>
      <c r="E50" s="2" t="str">
        <f t="shared" si="5"/>
        <v>20</v>
      </c>
      <c r="F50" s="2">
        <f>Table_0[[#This Row],[Degrees]]+Table_0[[#This Row],[Minutes]]/60+Table_0[[#This Row],[Seconds]]/3600</f>
        <v>17.772222222222222</v>
      </c>
    </row>
    <row r="51" spans="1:6" x14ac:dyDescent="0.25">
      <c r="A51" s="1">
        <v>50</v>
      </c>
      <c r="B51" s="2" t="s">
        <v>60</v>
      </c>
      <c r="C51" s="1" t="str">
        <f t="shared" si="3"/>
        <v>18</v>
      </c>
      <c r="D51" s="1">
        <f t="shared" si="4"/>
        <v>2</v>
      </c>
      <c r="E51" s="2" t="str">
        <f t="shared" si="5"/>
        <v>53</v>
      </c>
      <c r="F51" s="2">
        <f>Table_0[[#This Row],[Degrees]]+Table_0[[#This Row],[Minutes]]/60+Table_0[[#This Row],[Seconds]]/3600</f>
        <v>18.048055555555557</v>
      </c>
    </row>
    <row r="52" spans="1:6" x14ac:dyDescent="0.25">
      <c r="A52" s="1">
        <v>51</v>
      </c>
      <c r="B52" s="2" t="s">
        <v>61</v>
      </c>
      <c r="C52" s="1" t="str">
        <f t="shared" si="3"/>
        <v>18</v>
      </c>
      <c r="D52" s="1">
        <f t="shared" si="4"/>
        <v>19</v>
      </c>
      <c r="E52" s="2" t="str">
        <f t="shared" si="5"/>
        <v>15</v>
      </c>
      <c r="F52" s="2">
        <f>Table_0[[#This Row],[Degrees]]+Table_0[[#This Row],[Minutes]]/60+Table_0[[#This Row],[Seconds]]/3600</f>
        <v>18.320833333333333</v>
      </c>
    </row>
    <row r="53" spans="1:6" x14ac:dyDescent="0.25">
      <c r="A53" s="1">
        <v>52</v>
      </c>
      <c r="B53" s="2" t="s">
        <v>62</v>
      </c>
      <c r="C53" s="1" t="str">
        <f t="shared" si="3"/>
        <v>18</v>
      </c>
      <c r="D53" s="1">
        <f t="shared" si="4"/>
        <v>35</v>
      </c>
      <c r="E53" s="2" t="str">
        <f t="shared" si="5"/>
        <v>5</v>
      </c>
      <c r="F53" s="2">
        <f>Table_0[[#This Row],[Degrees]]+Table_0[[#This Row],[Minutes]]/60+Table_0[[#This Row],[Seconds]]/3600</f>
        <v>18.584722222222222</v>
      </c>
    </row>
    <row r="54" spans="1:6" x14ac:dyDescent="0.25">
      <c r="A54" s="1">
        <v>53</v>
      </c>
      <c r="B54" s="2" t="s">
        <v>63</v>
      </c>
      <c r="C54" s="1" t="str">
        <f t="shared" si="3"/>
        <v>18</v>
      </c>
      <c r="D54" s="1">
        <f t="shared" si="4"/>
        <v>50</v>
      </c>
      <c r="E54" s="2" t="str">
        <f t="shared" si="5"/>
        <v>41</v>
      </c>
      <c r="F54" s="2">
        <f>Table_0[[#This Row],[Degrees]]+Table_0[[#This Row],[Minutes]]/60+Table_0[[#This Row],[Seconds]]/3600</f>
        <v>18.84472222222222</v>
      </c>
    </row>
    <row r="55" spans="1:6" x14ac:dyDescent="0.25">
      <c r="A55" s="1">
        <v>54</v>
      </c>
      <c r="B55" s="2" t="s">
        <v>64</v>
      </c>
      <c r="C55" s="1" t="str">
        <f t="shared" si="3"/>
        <v>19</v>
      </c>
      <c r="D55" s="1">
        <f t="shared" si="4"/>
        <v>5</v>
      </c>
      <c r="E55" s="2" t="str">
        <f t="shared" si="5"/>
        <v>57</v>
      </c>
      <c r="F55" s="2">
        <f>Table_0[[#This Row],[Degrees]]+Table_0[[#This Row],[Minutes]]/60+Table_0[[#This Row],[Seconds]]/3600</f>
        <v>19.099166666666665</v>
      </c>
    </row>
    <row r="56" spans="1:6" x14ac:dyDescent="0.25">
      <c r="A56" s="1">
        <v>55</v>
      </c>
      <c r="B56" s="2" t="s">
        <v>65</v>
      </c>
      <c r="C56" s="1" t="str">
        <f t="shared" si="3"/>
        <v>19</v>
      </c>
      <c r="D56" s="1">
        <f t="shared" si="4"/>
        <v>20</v>
      </c>
      <c r="E56" s="2" t="str">
        <f t="shared" si="5"/>
        <v>56</v>
      </c>
      <c r="F56" s="2">
        <f>Table_0[[#This Row],[Degrees]]+Table_0[[#This Row],[Minutes]]/60+Table_0[[#This Row],[Seconds]]/3600</f>
        <v>19.348888888888887</v>
      </c>
    </row>
    <row r="57" spans="1:6" x14ac:dyDescent="0.25">
      <c r="A57" s="1">
        <v>56</v>
      </c>
      <c r="B57" s="2" t="s">
        <v>66</v>
      </c>
      <c r="C57" s="1" t="str">
        <f t="shared" si="3"/>
        <v>19</v>
      </c>
      <c r="D57" s="1">
        <f t="shared" si="4"/>
        <v>35</v>
      </c>
      <c r="E57" s="2" t="str">
        <f t="shared" si="5"/>
        <v>28</v>
      </c>
      <c r="F57" s="2">
        <f>Table_0[[#This Row],[Degrees]]+Table_0[[#This Row],[Minutes]]/60+Table_0[[#This Row],[Seconds]]/3600</f>
        <v>19.591111111111111</v>
      </c>
    </row>
    <row r="58" spans="1:6" x14ac:dyDescent="0.25">
      <c r="A58" s="1">
        <v>57</v>
      </c>
      <c r="B58" s="2" t="s">
        <v>67</v>
      </c>
      <c r="C58" s="1" t="str">
        <f t="shared" si="3"/>
        <v>19</v>
      </c>
      <c r="D58" s="1">
        <f t="shared" si="4"/>
        <v>49</v>
      </c>
      <c r="E58" s="2" t="str">
        <f t="shared" si="5"/>
        <v>42</v>
      </c>
      <c r="F58" s="2">
        <f>Table_0[[#This Row],[Degrees]]+Table_0[[#This Row],[Minutes]]/60+Table_0[[#This Row],[Seconds]]/3600</f>
        <v>19.828333333333333</v>
      </c>
    </row>
    <row r="59" spans="1:6" x14ac:dyDescent="0.25">
      <c r="A59" s="1">
        <v>58</v>
      </c>
      <c r="B59" s="2" t="s">
        <v>68</v>
      </c>
      <c r="C59" s="1" t="str">
        <f t="shared" si="3"/>
        <v>20</v>
      </c>
      <c r="D59" s="1">
        <f t="shared" si="4"/>
        <v>3</v>
      </c>
      <c r="E59" s="2" t="str">
        <f t="shared" si="5"/>
        <v>31</v>
      </c>
      <c r="F59" s="2">
        <f>Table_0[[#This Row],[Degrees]]+Table_0[[#This Row],[Minutes]]/60+Table_0[[#This Row],[Seconds]]/3600</f>
        <v>20.058611111111112</v>
      </c>
    </row>
    <row r="60" spans="1:6" x14ac:dyDescent="0.25">
      <c r="A60" s="1">
        <v>59</v>
      </c>
      <c r="B60" s="2" t="s">
        <v>69</v>
      </c>
      <c r="C60" s="1" t="str">
        <f t="shared" si="3"/>
        <v>20</v>
      </c>
      <c r="D60" s="1">
        <f t="shared" si="4"/>
        <v>17</v>
      </c>
      <c r="E60" s="2" t="str">
        <f t="shared" si="5"/>
        <v>4</v>
      </c>
      <c r="F60" s="2">
        <f>Table_0[[#This Row],[Degrees]]+Table_0[[#This Row],[Minutes]]/60+Table_0[[#This Row],[Seconds]]/3600</f>
        <v>20.284444444444446</v>
      </c>
    </row>
    <row r="61" spans="1:6" x14ac:dyDescent="0.25">
      <c r="A61" s="1">
        <v>60</v>
      </c>
      <c r="B61" s="2" t="s">
        <v>70</v>
      </c>
      <c r="C61" s="1" t="str">
        <f t="shared" si="3"/>
        <v>20</v>
      </c>
      <c r="D61" s="1">
        <f t="shared" si="4"/>
        <v>30</v>
      </c>
      <c r="E61" s="2" t="str">
        <f t="shared" si="5"/>
        <v>9</v>
      </c>
      <c r="F61" s="2">
        <f>Table_0[[#This Row],[Degrees]]+Table_0[[#This Row],[Minutes]]/60+Table_0[[#This Row],[Seconds]]/3600</f>
        <v>20.502500000000001</v>
      </c>
    </row>
    <row r="62" spans="1:6" x14ac:dyDescent="0.25">
      <c r="A62" s="1">
        <v>61</v>
      </c>
      <c r="B62" s="2" t="s">
        <v>71</v>
      </c>
      <c r="C62" s="1" t="str">
        <f t="shared" si="3"/>
        <v>20</v>
      </c>
      <c r="D62" s="1">
        <f t="shared" si="4"/>
        <v>42</v>
      </c>
      <c r="E62" s="2" t="str">
        <f t="shared" si="5"/>
        <v>58</v>
      </c>
      <c r="F62" s="2">
        <f>Table_0[[#This Row],[Degrees]]+Table_0[[#This Row],[Minutes]]/60+Table_0[[#This Row],[Seconds]]/3600</f>
        <v>20.716111111111111</v>
      </c>
    </row>
    <row r="63" spans="1:6" x14ac:dyDescent="0.25">
      <c r="A63" s="1">
        <v>62</v>
      </c>
      <c r="B63" s="2" t="s">
        <v>72</v>
      </c>
      <c r="C63" s="1" t="str">
        <f t="shared" si="3"/>
        <v>20</v>
      </c>
      <c r="D63" s="1">
        <f t="shared" si="4"/>
        <v>55</v>
      </c>
      <c r="E63" s="2" t="str">
        <f t="shared" si="5"/>
        <v>24</v>
      </c>
      <c r="F63" s="2">
        <f>Table_0[[#This Row],[Degrees]]+Table_0[[#This Row],[Minutes]]/60+Table_0[[#This Row],[Seconds]]/3600</f>
        <v>20.923333333333336</v>
      </c>
    </row>
    <row r="64" spans="1:6" x14ac:dyDescent="0.25">
      <c r="A64" s="1">
        <v>63</v>
      </c>
      <c r="B64" s="2" t="s">
        <v>73</v>
      </c>
      <c r="C64" s="1" t="str">
        <f t="shared" si="3"/>
        <v>21</v>
      </c>
      <c r="D64" s="1">
        <f t="shared" si="4"/>
        <v>7</v>
      </c>
      <c r="E64" s="2" t="str">
        <f t="shared" si="5"/>
        <v>21</v>
      </c>
      <c r="F64" s="2">
        <f>Table_0[[#This Row],[Degrees]]+Table_0[[#This Row],[Minutes]]/60+Table_0[[#This Row],[Seconds]]/3600</f>
        <v>21.122499999999999</v>
      </c>
    </row>
    <row r="65" spans="1:6" x14ac:dyDescent="0.25">
      <c r="A65" s="1">
        <v>64</v>
      </c>
      <c r="B65" s="2" t="s">
        <v>74</v>
      </c>
      <c r="C65" s="1" t="str">
        <f t="shared" si="3"/>
        <v>21</v>
      </c>
      <c r="D65" s="1">
        <f t="shared" si="4"/>
        <v>18</v>
      </c>
      <c r="E65" s="2" t="str">
        <f t="shared" si="5"/>
        <v>58</v>
      </c>
      <c r="F65" s="2">
        <f>Table_0[[#This Row],[Degrees]]+Table_0[[#This Row],[Minutes]]/60+Table_0[[#This Row],[Seconds]]/3600</f>
        <v>21.316111111111113</v>
      </c>
    </row>
    <row r="66" spans="1:6" x14ac:dyDescent="0.25">
      <c r="A66" s="1">
        <v>65</v>
      </c>
      <c r="B66" s="2" t="s">
        <v>75</v>
      </c>
      <c r="C66" s="1" t="str">
        <f t="shared" ref="C66:C91" si="6">LEFT(B66, FIND(";", B66&amp;";")-1)</f>
        <v>21</v>
      </c>
      <c r="D66" s="1">
        <f t="shared" ref="D66:D91" si="7">MID(B66,SEARCH(";",B66)+1,SEARCH(",",B66)-SEARCH(";",B66)-1)+0</f>
        <v>30</v>
      </c>
      <c r="E66" s="2" t="str">
        <f t="shared" ref="E66:E91" si="8">RIGHT(B66, LEN(B66)-FIND(",", B66))</f>
        <v>11</v>
      </c>
      <c r="F66" s="2">
        <f>Table_0[[#This Row],[Degrees]]+Table_0[[#This Row],[Minutes]]/60+Table_0[[#This Row],[Seconds]]/3600</f>
        <v>21.503055555555555</v>
      </c>
    </row>
    <row r="67" spans="1:6" x14ac:dyDescent="0.25">
      <c r="A67" s="1">
        <v>66</v>
      </c>
      <c r="B67" s="2" t="s">
        <v>76</v>
      </c>
      <c r="C67" s="1" t="str">
        <f t="shared" si="6"/>
        <v>21</v>
      </c>
      <c r="D67" s="1">
        <f t="shared" si="7"/>
        <v>41</v>
      </c>
      <c r="E67" s="2" t="str">
        <f t="shared" si="8"/>
        <v>0</v>
      </c>
      <c r="F67" s="2">
        <f>Table_0[[#This Row],[Degrees]]+Table_0[[#This Row],[Minutes]]/60+Table_0[[#This Row],[Seconds]]/3600</f>
        <v>21.683333333333334</v>
      </c>
    </row>
    <row r="68" spans="1:6" x14ac:dyDescent="0.25">
      <c r="A68" s="1">
        <v>67</v>
      </c>
      <c r="B68" s="2" t="s">
        <v>77</v>
      </c>
      <c r="C68" s="1" t="str">
        <f t="shared" si="6"/>
        <v>21</v>
      </c>
      <c r="D68" s="1">
        <f t="shared" si="7"/>
        <v>51</v>
      </c>
      <c r="E68" s="2" t="str">
        <f t="shared" si="8"/>
        <v>25</v>
      </c>
      <c r="F68" s="2">
        <f>Table_0[[#This Row],[Degrees]]+Table_0[[#This Row],[Minutes]]/60+Table_0[[#This Row],[Seconds]]/3600</f>
        <v>21.856944444444444</v>
      </c>
    </row>
    <row r="69" spans="1:6" x14ac:dyDescent="0.25">
      <c r="A69" s="1">
        <v>68</v>
      </c>
      <c r="B69" s="2" t="s">
        <v>78</v>
      </c>
      <c r="C69" s="1" t="str">
        <f t="shared" si="6"/>
        <v>22</v>
      </c>
      <c r="D69" s="1">
        <f t="shared" si="7"/>
        <v>1</v>
      </c>
      <c r="E69" s="2" t="str">
        <f t="shared" si="8"/>
        <v>25</v>
      </c>
      <c r="F69" s="2">
        <f>Table_0[[#This Row],[Degrees]]+Table_0[[#This Row],[Minutes]]/60+Table_0[[#This Row],[Seconds]]/3600</f>
        <v>22.023611111111109</v>
      </c>
    </row>
    <row r="70" spans="1:6" x14ac:dyDescent="0.25">
      <c r="A70" s="1">
        <v>69</v>
      </c>
      <c r="B70" s="2" t="s">
        <v>79</v>
      </c>
      <c r="C70" s="1" t="str">
        <f t="shared" si="6"/>
        <v>22</v>
      </c>
      <c r="D70" s="1">
        <f t="shared" si="7"/>
        <v>11</v>
      </c>
      <c r="E70" s="2" t="str">
        <f t="shared" si="8"/>
        <v>1</v>
      </c>
      <c r="F70" s="2">
        <f>Table_0[[#This Row],[Degrees]]+Table_0[[#This Row],[Minutes]]/60+Table_0[[#This Row],[Seconds]]/3600</f>
        <v>22.183611111111112</v>
      </c>
    </row>
    <row r="71" spans="1:6" x14ac:dyDescent="0.25">
      <c r="A71" s="1">
        <v>70</v>
      </c>
      <c r="B71" s="2" t="s">
        <v>80</v>
      </c>
      <c r="C71" s="1" t="str">
        <f t="shared" si="6"/>
        <v>22</v>
      </c>
      <c r="D71" s="1">
        <f t="shared" si="7"/>
        <v>20</v>
      </c>
      <c r="E71" s="2" t="str">
        <f t="shared" si="8"/>
        <v>11</v>
      </c>
      <c r="F71" s="2">
        <f>Table_0[[#This Row],[Degrees]]+Table_0[[#This Row],[Minutes]]/60+Table_0[[#This Row],[Seconds]]/3600</f>
        <v>22.336388888888887</v>
      </c>
    </row>
    <row r="72" spans="1:6" x14ac:dyDescent="0.25">
      <c r="A72" s="1">
        <v>71</v>
      </c>
      <c r="B72" s="2" t="s">
        <v>81</v>
      </c>
      <c r="C72" s="1" t="str">
        <f t="shared" si="6"/>
        <v>22</v>
      </c>
      <c r="D72" s="1">
        <f t="shared" si="7"/>
        <v>28</v>
      </c>
      <c r="E72" s="2" t="str">
        <f t="shared" si="8"/>
        <v>57</v>
      </c>
      <c r="F72" s="2">
        <f>Table_0[[#This Row],[Degrees]]+Table_0[[#This Row],[Minutes]]/60+Table_0[[#This Row],[Seconds]]/3600</f>
        <v>22.482499999999998</v>
      </c>
    </row>
    <row r="73" spans="1:6" x14ac:dyDescent="0.25">
      <c r="A73" s="1">
        <v>72</v>
      </c>
      <c r="B73" s="2" t="s">
        <v>82</v>
      </c>
      <c r="C73" s="1" t="str">
        <f t="shared" si="6"/>
        <v>22</v>
      </c>
      <c r="D73" s="1">
        <f t="shared" si="7"/>
        <v>37</v>
      </c>
      <c r="E73" s="2" t="str">
        <f t="shared" si="8"/>
        <v>17</v>
      </c>
      <c r="F73" s="2">
        <f>Table_0[[#This Row],[Degrees]]+Table_0[[#This Row],[Minutes]]/60+Table_0[[#This Row],[Seconds]]/3600</f>
        <v>22.621388888888891</v>
      </c>
    </row>
    <row r="74" spans="1:6" x14ac:dyDescent="0.25">
      <c r="A74" s="1">
        <v>73</v>
      </c>
      <c r="B74" s="2" t="s">
        <v>83</v>
      </c>
      <c r="C74" s="1" t="str">
        <f t="shared" si="6"/>
        <v>22</v>
      </c>
      <c r="D74" s="1">
        <f t="shared" si="7"/>
        <v>45</v>
      </c>
      <c r="E74" s="2" t="str">
        <f t="shared" si="8"/>
        <v>11</v>
      </c>
      <c r="F74" s="2">
        <f>Table_0[[#This Row],[Degrees]]+Table_0[[#This Row],[Minutes]]/60+Table_0[[#This Row],[Seconds]]/3600</f>
        <v>22.753055555555555</v>
      </c>
    </row>
    <row r="75" spans="1:6" x14ac:dyDescent="0.25">
      <c r="A75" s="1">
        <v>74</v>
      </c>
      <c r="B75" s="2" t="s">
        <v>84</v>
      </c>
      <c r="C75" s="1" t="str">
        <f t="shared" si="6"/>
        <v>22</v>
      </c>
      <c r="D75" s="1">
        <f t="shared" si="7"/>
        <v>52</v>
      </c>
      <c r="E75" s="2" t="str">
        <f t="shared" si="8"/>
        <v>39</v>
      </c>
      <c r="F75" s="2">
        <f>Table_0[[#This Row],[Degrees]]+Table_0[[#This Row],[Minutes]]/60+Table_0[[#This Row],[Seconds]]/3600</f>
        <v>22.877500000000001</v>
      </c>
    </row>
    <row r="76" spans="1:6" x14ac:dyDescent="0.25">
      <c r="A76" s="1">
        <v>75</v>
      </c>
      <c r="B76" s="2" t="s">
        <v>85</v>
      </c>
      <c r="C76" s="1" t="str">
        <f t="shared" si="6"/>
        <v>22</v>
      </c>
      <c r="D76" s="1">
        <f t="shared" si="7"/>
        <v>59</v>
      </c>
      <c r="E76" s="2" t="str">
        <f t="shared" si="8"/>
        <v>41</v>
      </c>
      <c r="F76" s="2">
        <f>Table_0[[#This Row],[Degrees]]+Table_0[[#This Row],[Minutes]]/60+Table_0[[#This Row],[Seconds]]/3600</f>
        <v>22.994722222222222</v>
      </c>
    </row>
    <row r="77" spans="1:6" x14ac:dyDescent="0.25">
      <c r="A77" s="1">
        <v>76</v>
      </c>
      <c r="B77" s="2" t="s">
        <v>86</v>
      </c>
      <c r="C77" s="1" t="str">
        <f t="shared" si="6"/>
        <v>23</v>
      </c>
      <c r="D77" s="1">
        <f t="shared" si="7"/>
        <v>6</v>
      </c>
      <c r="E77" s="2" t="str">
        <f t="shared" si="8"/>
        <v>17</v>
      </c>
      <c r="F77" s="2">
        <f>Table_0[[#This Row],[Degrees]]+Table_0[[#This Row],[Minutes]]/60+Table_0[[#This Row],[Seconds]]/3600</f>
        <v>23.104722222222225</v>
      </c>
    </row>
    <row r="78" spans="1:6" x14ac:dyDescent="0.25">
      <c r="A78" s="1">
        <v>77</v>
      </c>
      <c r="B78" s="2" t="s">
        <v>87</v>
      </c>
      <c r="C78" s="1" t="str">
        <f t="shared" si="6"/>
        <v>23</v>
      </c>
      <c r="D78" s="1">
        <f t="shared" si="7"/>
        <v>12</v>
      </c>
      <c r="E78" s="2" t="str">
        <f t="shared" si="8"/>
        <v>27</v>
      </c>
      <c r="F78" s="2">
        <f>Table_0[[#This Row],[Degrees]]+Table_0[[#This Row],[Minutes]]/60+Table_0[[#This Row],[Seconds]]/3600</f>
        <v>23.2075</v>
      </c>
    </row>
    <row r="79" spans="1:6" x14ac:dyDescent="0.25">
      <c r="A79" s="1">
        <v>78</v>
      </c>
      <c r="B79" s="2" t="s">
        <v>88</v>
      </c>
      <c r="C79" s="1" t="str">
        <f t="shared" si="6"/>
        <v>23</v>
      </c>
      <c r="D79" s="1">
        <f t="shared" si="7"/>
        <v>18</v>
      </c>
      <c r="E79" s="2" t="str">
        <f t="shared" si="8"/>
        <v>11</v>
      </c>
      <c r="F79" s="2">
        <f>Table_0[[#This Row],[Degrees]]+Table_0[[#This Row],[Minutes]]/60+Table_0[[#This Row],[Seconds]]/3600</f>
        <v>23.303055555555556</v>
      </c>
    </row>
    <row r="80" spans="1:6" x14ac:dyDescent="0.25">
      <c r="A80" s="1">
        <v>79</v>
      </c>
      <c r="B80" s="2" t="s">
        <v>89</v>
      </c>
      <c r="C80" s="1" t="str">
        <f t="shared" si="6"/>
        <v>23</v>
      </c>
      <c r="D80" s="1">
        <f t="shared" si="7"/>
        <v>23</v>
      </c>
      <c r="E80" s="2" t="str">
        <f t="shared" si="8"/>
        <v>28</v>
      </c>
      <c r="F80" s="2">
        <f>Table_0[[#This Row],[Degrees]]+Table_0[[#This Row],[Minutes]]/60+Table_0[[#This Row],[Seconds]]/3600</f>
        <v>23.391111111111112</v>
      </c>
    </row>
    <row r="81" spans="1:6" x14ac:dyDescent="0.25">
      <c r="A81" s="1">
        <v>80</v>
      </c>
      <c r="B81" s="2" t="s">
        <v>90</v>
      </c>
      <c r="C81" s="1" t="str">
        <f t="shared" si="6"/>
        <v>23</v>
      </c>
      <c r="D81" s="1">
        <f t="shared" si="7"/>
        <v>28</v>
      </c>
      <c r="E81" s="2" t="str">
        <f t="shared" si="8"/>
        <v>16</v>
      </c>
      <c r="F81" s="2">
        <f>Table_0[[#This Row],[Degrees]]+Table_0[[#This Row],[Minutes]]/60+Table_0[[#This Row],[Seconds]]/3600</f>
        <v>23.47111111111111</v>
      </c>
    </row>
    <row r="82" spans="1:6" x14ac:dyDescent="0.25">
      <c r="A82" s="1">
        <v>81</v>
      </c>
      <c r="B82" s="2" t="s">
        <v>91</v>
      </c>
      <c r="C82" s="1" t="str">
        <f t="shared" si="6"/>
        <v>23</v>
      </c>
      <c r="D82" s="1">
        <f t="shared" si="7"/>
        <v>32</v>
      </c>
      <c r="E82" s="2" t="str">
        <f t="shared" si="8"/>
        <v>30</v>
      </c>
      <c r="F82" s="2">
        <f>Table_0[[#This Row],[Degrees]]+Table_0[[#This Row],[Minutes]]/60+Table_0[[#This Row],[Seconds]]/3600</f>
        <v>23.541666666666668</v>
      </c>
    </row>
    <row r="83" spans="1:6" x14ac:dyDescent="0.25">
      <c r="A83" s="1">
        <v>82</v>
      </c>
      <c r="B83" s="2" t="s">
        <v>92</v>
      </c>
      <c r="C83" s="1" t="str">
        <f t="shared" si="6"/>
        <v>23</v>
      </c>
      <c r="D83" s="1">
        <f t="shared" si="7"/>
        <v>36</v>
      </c>
      <c r="E83" s="2" t="str">
        <f t="shared" si="8"/>
        <v>35</v>
      </c>
      <c r="F83" s="2">
        <f>Table_0[[#This Row],[Degrees]]+Table_0[[#This Row],[Minutes]]/60+Table_0[[#This Row],[Seconds]]/3600</f>
        <v>23.609722222222224</v>
      </c>
    </row>
    <row r="84" spans="1:6" x14ac:dyDescent="0.25">
      <c r="A84" s="1">
        <v>83</v>
      </c>
      <c r="B84" s="2" t="s">
        <v>93</v>
      </c>
      <c r="C84" s="1" t="str">
        <f t="shared" si="6"/>
        <v>23</v>
      </c>
      <c r="D84" s="1">
        <f t="shared" si="7"/>
        <v>40</v>
      </c>
      <c r="E84" s="2" t="str">
        <f t="shared" si="8"/>
        <v>2</v>
      </c>
      <c r="F84" s="2">
        <f>Table_0[[#This Row],[Degrees]]+Table_0[[#This Row],[Minutes]]/60+Table_0[[#This Row],[Seconds]]/3600</f>
        <v>23.667222222222222</v>
      </c>
    </row>
    <row r="85" spans="1:6" x14ac:dyDescent="0.25">
      <c r="A85" s="1">
        <v>84</v>
      </c>
      <c r="B85" s="2" t="s">
        <v>94</v>
      </c>
      <c r="C85" s="1" t="str">
        <f t="shared" si="6"/>
        <v>23</v>
      </c>
      <c r="D85" s="1">
        <f t="shared" si="7"/>
        <v>43</v>
      </c>
      <c r="E85" s="2" t="str">
        <f t="shared" si="8"/>
        <v>2</v>
      </c>
      <c r="F85" s="2">
        <f>Table_0[[#This Row],[Degrees]]+Table_0[[#This Row],[Minutes]]/60+Table_0[[#This Row],[Seconds]]/3600</f>
        <v>23.717222222222219</v>
      </c>
    </row>
    <row r="86" spans="1:6" x14ac:dyDescent="0.25">
      <c r="A86" s="1">
        <v>85</v>
      </c>
      <c r="B86" s="2" t="s">
        <v>95</v>
      </c>
      <c r="C86" s="1" t="str">
        <f t="shared" si="6"/>
        <v>23</v>
      </c>
      <c r="D86" s="1">
        <f t="shared" si="7"/>
        <v>45</v>
      </c>
      <c r="E86" s="2" t="str">
        <f t="shared" si="8"/>
        <v>34</v>
      </c>
      <c r="F86" s="2">
        <f>Table_0[[#This Row],[Degrees]]+Table_0[[#This Row],[Minutes]]/60+Table_0[[#This Row],[Seconds]]/3600</f>
        <v>23.759444444444444</v>
      </c>
    </row>
    <row r="87" spans="1:6" x14ac:dyDescent="0.25">
      <c r="A87" s="1">
        <v>86</v>
      </c>
      <c r="B87" s="2" t="s">
        <v>96</v>
      </c>
      <c r="C87" s="1" t="str">
        <f t="shared" si="6"/>
        <v>23</v>
      </c>
      <c r="D87" s="1">
        <f t="shared" si="7"/>
        <v>47</v>
      </c>
      <c r="E87" s="2" t="str">
        <f t="shared" si="8"/>
        <v>39</v>
      </c>
      <c r="F87" s="2">
        <f>Table_0[[#This Row],[Degrees]]+Table_0[[#This Row],[Minutes]]/60+Table_0[[#This Row],[Seconds]]/3600</f>
        <v>23.794166666666669</v>
      </c>
    </row>
    <row r="88" spans="1:6" x14ac:dyDescent="0.25">
      <c r="A88" s="1">
        <v>87</v>
      </c>
      <c r="B88" s="2" t="s">
        <v>97</v>
      </c>
      <c r="C88" s="1" t="str">
        <f t="shared" si="6"/>
        <v>23</v>
      </c>
      <c r="D88" s="1">
        <f t="shared" si="7"/>
        <v>49</v>
      </c>
      <c r="E88" s="2" t="str">
        <f t="shared" si="8"/>
        <v>16</v>
      </c>
      <c r="F88" s="2">
        <f>Table_0[[#This Row],[Degrees]]+Table_0[[#This Row],[Minutes]]/60+Table_0[[#This Row],[Seconds]]/3600</f>
        <v>23.821111111111112</v>
      </c>
    </row>
    <row r="89" spans="1:6" x14ac:dyDescent="0.25">
      <c r="A89" s="1">
        <v>88</v>
      </c>
      <c r="B89" s="2" t="s">
        <v>98</v>
      </c>
      <c r="C89" s="1" t="str">
        <f t="shared" si="6"/>
        <v>23</v>
      </c>
      <c r="D89" s="1">
        <f t="shared" si="7"/>
        <v>50</v>
      </c>
      <c r="E89" s="2" t="str">
        <f t="shared" si="8"/>
        <v>25</v>
      </c>
      <c r="F89" s="2">
        <f>Table_0[[#This Row],[Degrees]]+Table_0[[#This Row],[Minutes]]/60+Table_0[[#This Row],[Seconds]]/3600</f>
        <v>23.840277777777775</v>
      </c>
    </row>
    <row r="90" spans="1:6" x14ac:dyDescent="0.25">
      <c r="A90" s="1">
        <v>89</v>
      </c>
      <c r="B90" s="2" t="s">
        <v>99</v>
      </c>
      <c r="C90" s="1" t="str">
        <f t="shared" si="6"/>
        <v>23</v>
      </c>
      <c r="D90" s="1">
        <f t="shared" si="7"/>
        <v>51</v>
      </c>
      <c r="E90" s="2" t="str">
        <f t="shared" si="8"/>
        <v>6</v>
      </c>
      <c r="F90" s="2">
        <f>Table_0[[#This Row],[Degrees]]+Table_0[[#This Row],[Minutes]]/60+Table_0[[#This Row],[Seconds]]/3600</f>
        <v>23.851666666666667</v>
      </c>
    </row>
    <row r="91" spans="1:6" x14ac:dyDescent="0.25">
      <c r="A91" s="1">
        <v>90</v>
      </c>
      <c r="B91" s="2" t="s">
        <v>100</v>
      </c>
      <c r="C91" s="1" t="str">
        <f t="shared" si="6"/>
        <v>23</v>
      </c>
      <c r="D91" s="1">
        <f t="shared" si="7"/>
        <v>51</v>
      </c>
      <c r="E91" s="2" t="str">
        <f t="shared" si="8"/>
        <v>20</v>
      </c>
      <c r="F91" s="2">
        <f>Table_0[[#This Row],[Degrees]]+Table_0[[#This Row],[Minutes]]/60+Table_0[[#This Row],[Seconds]]/3600</f>
        <v>23.855555555555558</v>
      </c>
    </row>
  </sheetData>
  <sheetProtection algorithmName="SHA-512" hashValue="tgdtq8p5BUYI6F2xFFR4J2bZXoYLhb/+JYzZq/xRDKteMp7RkP7EIgpVB0Yba0qoJ/F3jhsqjSDGeKxOnwzmig==" saltValue="Gs4efxYMj+vOWc+QKC0uxw==" spinCount="100000"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CC90-5985-4B3B-8C5D-583BDA63E625}">
  <dimension ref="A1:G37"/>
  <sheetViews>
    <sheetView workbookViewId="0">
      <selection activeCell="H1" sqref="H1"/>
    </sheetView>
  </sheetViews>
  <sheetFormatPr defaultRowHeight="15" x14ac:dyDescent="0.25"/>
  <cols>
    <col min="1" max="1" width="11" customWidth="1"/>
    <col min="2" max="2" width="9.7109375" customWidth="1"/>
    <col min="3" max="3" width="13.140625" customWidth="1"/>
    <col min="4" max="4" width="20.28515625" customWidth="1"/>
    <col min="5" max="5" width="16.7109375" customWidth="1"/>
    <col min="6" max="6" width="12.85546875" customWidth="1"/>
    <col min="7" max="7" width="13.85546875" customWidth="1"/>
  </cols>
  <sheetData>
    <row r="1" spans="1:7" ht="45" x14ac:dyDescent="0.25">
      <c r="A1" s="60" t="s">
        <v>102</v>
      </c>
      <c r="B1" s="60" t="s">
        <v>153</v>
      </c>
      <c r="C1" s="60" t="s">
        <v>727</v>
      </c>
      <c r="D1" s="60" t="s">
        <v>726</v>
      </c>
      <c r="E1" s="60" t="s">
        <v>728</v>
      </c>
      <c r="F1" s="60" t="s">
        <v>154</v>
      </c>
      <c r="G1" s="60" t="s">
        <v>729</v>
      </c>
    </row>
    <row r="2" spans="1:7" x14ac:dyDescent="0.25">
      <c r="A2" s="10">
        <v>10</v>
      </c>
      <c r="B2" s="10">
        <f>C2</f>
        <v>6.2333333333333334</v>
      </c>
      <c r="C2" s="10">
        <f>6+14/60</f>
        <v>6.2333333333333334</v>
      </c>
      <c r="D2" s="32">
        <f>Calculator!C4</f>
        <v>5.9337253666434542</v>
      </c>
      <c r="E2" s="32">
        <f>Calculator!C4</f>
        <v>5.9337253666434542</v>
      </c>
      <c r="F2" s="10">
        <f>G2</f>
        <v>5.666666666666667</v>
      </c>
      <c r="G2" s="10">
        <f>5+40/60</f>
        <v>5.666666666666667</v>
      </c>
    </row>
    <row r="3" spans="1:7" x14ac:dyDescent="0.25">
      <c r="A3" s="10">
        <v>20</v>
      </c>
      <c r="B3" s="10">
        <f>C3-C2</f>
        <v>6.3500000000000005</v>
      </c>
      <c r="C3" s="10">
        <f>12+35/60</f>
        <v>12.583333333333334</v>
      </c>
      <c r="D3" s="32">
        <f>Calculator!C5</f>
        <v>6.0651741913614785</v>
      </c>
      <c r="E3" s="32">
        <f>Calculator!D5</f>
        <v>11.998899558004933</v>
      </c>
      <c r="F3" s="10">
        <f>G3-G2</f>
        <v>5.7833333333333323</v>
      </c>
      <c r="G3" s="10">
        <f>11+27/60</f>
        <v>11.45</v>
      </c>
    </row>
    <row r="4" spans="1:7" x14ac:dyDescent="0.25">
      <c r="A4" s="10">
        <v>30</v>
      </c>
      <c r="B4" s="10">
        <f>C4-C3</f>
        <v>6.6166666666666654</v>
      </c>
      <c r="C4" s="10">
        <f>19+12/60</f>
        <v>19.2</v>
      </c>
      <c r="D4" s="32">
        <f>Calculator!C6</f>
        <v>6.3318451792062582</v>
      </c>
      <c r="E4" s="32">
        <f>Calculator!D6</f>
        <v>18.330744737211191</v>
      </c>
      <c r="F4" s="10">
        <f>G4-G3</f>
        <v>6.0833333333333357</v>
      </c>
      <c r="G4" s="10">
        <f>17+32/60</f>
        <v>17.533333333333335</v>
      </c>
    </row>
    <row r="5" spans="1:7" x14ac:dyDescent="0.25">
      <c r="A5" s="10">
        <v>40</v>
      </c>
      <c r="B5" s="10">
        <f>C5-C4</f>
        <v>7.0166666666666657</v>
      </c>
      <c r="C5" s="10">
        <f>26+13/60</f>
        <v>26.216666666666665</v>
      </c>
      <c r="D5" s="32">
        <f>Calculator!C7</f>
        <v>6.7386998440083943</v>
      </c>
      <c r="E5" s="32">
        <f>Calculator!D7</f>
        <v>25.069444581219585</v>
      </c>
      <c r="F5" s="10">
        <f>G5-G4</f>
        <v>6.4833333333333307</v>
      </c>
      <c r="G5" s="10">
        <f>24+1/60</f>
        <v>24.016666666666666</v>
      </c>
    </row>
    <row r="6" spans="1:7" x14ac:dyDescent="0.25">
      <c r="A6" s="10">
        <v>50</v>
      </c>
      <c r="B6" s="10">
        <f>C6-C5</f>
        <v>7.5500000000000007</v>
      </c>
      <c r="C6" s="10">
        <f>33+46/60</f>
        <v>33.766666666666666</v>
      </c>
      <c r="D6" s="32">
        <f>Calculator!C8</f>
        <v>7.2881768890707406</v>
      </c>
      <c r="E6" s="32">
        <f>Calculator!D8</f>
        <v>32.357621470290326</v>
      </c>
      <c r="F6" s="10">
        <f>G6-G5</f>
        <v>7.0666666666666664</v>
      </c>
      <c r="G6" s="10">
        <f>31+5/60</f>
        <v>31.083333333333332</v>
      </c>
    </row>
    <row r="7" spans="1:7" x14ac:dyDescent="0.25">
      <c r="A7" s="10">
        <v>60</v>
      </c>
      <c r="B7" s="10">
        <f>C7-C6</f>
        <v>8.2000000000000028</v>
      </c>
      <c r="C7" s="10">
        <f>41+58/60</f>
        <v>41.966666666666669</v>
      </c>
      <c r="D7" s="32">
        <f>Calculator!C9</f>
        <v>7.9725018301596222</v>
      </c>
      <c r="E7" s="32">
        <f>Calculator!D9</f>
        <v>40.330123300449948</v>
      </c>
      <c r="F7" s="10">
        <f>G7-G6</f>
        <v>7.7666666666666693</v>
      </c>
      <c r="G7" s="10">
        <f>38+51/60</f>
        <v>38.85</v>
      </c>
    </row>
    <row r="8" spans="1:7" x14ac:dyDescent="0.25">
      <c r="A8" s="10">
        <v>70</v>
      </c>
      <c r="B8" s="10">
        <f>C8-C7</f>
        <v>8.93333333333333</v>
      </c>
      <c r="C8" s="10">
        <f>50+54/60</f>
        <v>50.9</v>
      </c>
      <c r="D8" s="32">
        <f>Calculator!C10</f>
        <v>8.770904940102028</v>
      </c>
      <c r="E8" s="32">
        <f>Calculator!D10</f>
        <v>49.101028240551976</v>
      </c>
      <c r="F8" s="10">
        <f>G8-G7</f>
        <v>8.6333333333333329</v>
      </c>
      <c r="G8" s="10">
        <f>47+29/60</f>
        <v>47.483333333333334</v>
      </c>
    </row>
    <row r="9" spans="1:7" x14ac:dyDescent="0.25">
      <c r="A9" s="10">
        <v>80</v>
      </c>
      <c r="B9" s="10">
        <f>C9-C8</f>
        <v>9.7833333333333314</v>
      </c>
      <c r="C9" s="10">
        <f>60+41/60</f>
        <v>60.68333333333333</v>
      </c>
      <c r="D9" s="32">
        <f>Calculator!C11</f>
        <v>9.6190337576414535</v>
      </c>
      <c r="E9" s="32">
        <f>Calculator!D11</f>
        <v>58.72006199819343</v>
      </c>
      <c r="F9" s="10">
        <f>G9-G8</f>
        <v>9.5333333333333314</v>
      </c>
      <c r="G9" s="10">
        <f>57+1/60</f>
        <v>57.016666666666666</v>
      </c>
    </row>
    <row r="10" spans="1:7" x14ac:dyDescent="0.25">
      <c r="A10" s="10">
        <v>90</v>
      </c>
      <c r="B10" s="10">
        <f>C10-C9</f>
        <v>10.56666666666667</v>
      </c>
      <c r="C10" s="10">
        <f>71+15/60</f>
        <v>71.25</v>
      </c>
      <c r="D10" s="32">
        <f>Calculator!C12</f>
        <v>10.615044384785293</v>
      </c>
      <c r="E10" s="32">
        <f>Calculator!D12</f>
        <v>69.335106382978722</v>
      </c>
      <c r="F10" s="10">
        <f>G10-G9</f>
        <v>10.483333333333334</v>
      </c>
      <c r="G10" s="10">
        <f>67+30/60</f>
        <v>67.5</v>
      </c>
    </row>
    <row r="11" spans="1:7" x14ac:dyDescent="0.25">
      <c r="A11" s="10">
        <v>100</v>
      </c>
      <c r="B11" s="10">
        <f>11+16/60</f>
        <v>11.266666666666667</v>
      </c>
      <c r="C11" s="10">
        <f>B11+C10</f>
        <v>82.516666666666666</v>
      </c>
      <c r="D11" s="32">
        <f>Calculator!C13</f>
        <v>11.218288948548039</v>
      </c>
      <c r="E11" s="32">
        <f>E10+D11</f>
        <v>80.553395331526758</v>
      </c>
      <c r="F11" s="10">
        <f>11+21/60</f>
        <v>11.35</v>
      </c>
      <c r="G11" s="10">
        <f>G10+F11</f>
        <v>78.849999999999994</v>
      </c>
    </row>
    <row r="12" spans="1:7" x14ac:dyDescent="0.25">
      <c r="A12" s="10">
        <v>110</v>
      </c>
      <c r="B12" s="10">
        <f>11+47/60</f>
        <v>11.783333333333333</v>
      </c>
      <c r="C12" s="10">
        <f>B12+C11</f>
        <v>94.3</v>
      </c>
      <c r="D12" s="32">
        <f>Calculator!C14</f>
        <v>11.947632909025213</v>
      </c>
      <c r="E12" s="32">
        <f>E11+D12</f>
        <v>92.501028240551975</v>
      </c>
      <c r="F12" s="10">
        <f>12+2/60</f>
        <v>12.033333333333333</v>
      </c>
      <c r="G12" s="10">
        <f>G11+F12</f>
        <v>90.883333333333326</v>
      </c>
    </row>
    <row r="13" spans="1:7" x14ac:dyDescent="0.25">
      <c r="A13" s="10">
        <v>120</v>
      </c>
      <c r="B13" s="10">
        <f>12+12/60</f>
        <v>12.2</v>
      </c>
      <c r="C13" s="10">
        <f>B13+C12</f>
        <v>106.5</v>
      </c>
      <c r="D13" s="32">
        <f>Calculator!C15</f>
        <v>12.362428393231305</v>
      </c>
      <c r="E13" s="32">
        <f>E12+D13</f>
        <v>104.86345663378327</v>
      </c>
      <c r="F13" s="10">
        <f>12.5</f>
        <v>12.5</v>
      </c>
      <c r="G13" s="10">
        <f>G12+F13</f>
        <v>103.38333333333333</v>
      </c>
    </row>
    <row r="14" spans="1:7" x14ac:dyDescent="0.25">
      <c r="A14" s="10">
        <v>130</v>
      </c>
      <c r="B14" s="10">
        <f>12+20/60</f>
        <v>12.333333333333334</v>
      </c>
      <c r="C14" s="10">
        <f>B14+C13</f>
        <v>118.83333333333333</v>
      </c>
      <c r="D14" s="32">
        <f>Calculator!C16</f>
        <v>12.560831503173713</v>
      </c>
      <c r="E14" s="32">
        <f>E13+D14</f>
        <v>117.42428813695699</v>
      </c>
      <c r="F14" s="10">
        <f>12+46/60</f>
        <v>12.766666666666667</v>
      </c>
      <c r="G14" s="10">
        <f>G13+F14</f>
        <v>116.14999999999999</v>
      </c>
    </row>
    <row r="15" spans="1:7" x14ac:dyDescent="0.25">
      <c r="A15" s="10">
        <v>140</v>
      </c>
      <c r="B15" s="10">
        <f>12+23/60</f>
        <v>12.383333333333333</v>
      </c>
      <c r="C15" s="10">
        <f>B15+C14</f>
        <v>131.21666666666667</v>
      </c>
      <c r="D15" s="32">
        <f>Calculator!C17</f>
        <v>12.645156444262593</v>
      </c>
      <c r="E15" s="32">
        <f>E14+D15</f>
        <v>130.06944458121959</v>
      </c>
      <c r="F15" s="10">
        <f>12+52/60</f>
        <v>12.866666666666667</v>
      </c>
      <c r="G15" s="10">
        <f>G14+F15</f>
        <v>129.01666666666665</v>
      </c>
    </row>
    <row r="16" spans="1:7" x14ac:dyDescent="0.25">
      <c r="A16" s="10">
        <v>150</v>
      </c>
      <c r="B16" s="10">
        <f>12+19/60</f>
        <v>12.316666666666666</v>
      </c>
      <c r="C16" s="10">
        <f>B16+C15</f>
        <v>143.53333333333333</v>
      </c>
      <c r="D16" s="32">
        <f>Calculator!C18</f>
        <v>12.594633489324938</v>
      </c>
      <c r="E16" s="32">
        <f>E15+D16</f>
        <v>142.66407807054452</v>
      </c>
      <c r="F16" s="10">
        <f>12+51/60</f>
        <v>12.85</v>
      </c>
      <c r="G16" s="10">
        <f>G15+F16</f>
        <v>141.86666666666665</v>
      </c>
    </row>
    <row r="17" spans="1:7" x14ac:dyDescent="0.25">
      <c r="A17" s="10">
        <v>160</v>
      </c>
      <c r="B17" s="10">
        <f>12+13/60</f>
        <v>12.216666666666667</v>
      </c>
      <c r="C17" s="10">
        <f>B17+C16</f>
        <v>155.75</v>
      </c>
      <c r="D17" s="32">
        <f>Calculator!C19</f>
        <v>12.501488154127074</v>
      </c>
      <c r="E17" s="32">
        <f>E16+D17</f>
        <v>155.16556622467158</v>
      </c>
      <c r="F17" s="10">
        <f>12+45/60</f>
        <v>12.75</v>
      </c>
      <c r="G17" s="10">
        <f>G16+F17</f>
        <v>154.61666666666665</v>
      </c>
    </row>
    <row r="18" spans="1:7" x14ac:dyDescent="0.25">
      <c r="A18" s="10">
        <v>170</v>
      </c>
      <c r="B18" s="10">
        <f>12+9/60</f>
        <v>12.15</v>
      </c>
      <c r="C18" s="10">
        <f>B18+C17</f>
        <v>167.9</v>
      </c>
      <c r="D18" s="32">
        <f>Calculator!C20</f>
        <v>12.434825808638521</v>
      </c>
      <c r="E18" s="32">
        <f>E17+D18</f>
        <v>167.6003920333101</v>
      </c>
      <c r="F18" s="10">
        <f>12+43/60</f>
        <v>12.716666666666667</v>
      </c>
      <c r="G18" s="10">
        <f>G17+F18</f>
        <v>167.33333333333331</v>
      </c>
    </row>
    <row r="19" spans="1:7" x14ac:dyDescent="0.25">
      <c r="A19" s="10">
        <v>180</v>
      </c>
      <c r="B19" s="10">
        <f>12+6/60</f>
        <v>12.1</v>
      </c>
      <c r="C19" s="10">
        <f>B19+C18</f>
        <v>180</v>
      </c>
      <c r="D19" s="32">
        <f>Calculator!C21</f>
        <v>12.399607966689878</v>
      </c>
      <c r="E19" s="32">
        <f>E18+D19</f>
        <v>179.99999999999997</v>
      </c>
      <c r="F19" s="10">
        <f>12+40/60</f>
        <v>12.666666666666666</v>
      </c>
      <c r="G19" s="10">
        <f>G18+F19</f>
        <v>179.99999999999997</v>
      </c>
    </row>
    <row r="20" spans="1:7" x14ac:dyDescent="0.25">
      <c r="A20" s="10">
        <v>190</v>
      </c>
      <c r="B20" s="10">
        <f>12+6/60</f>
        <v>12.1</v>
      </c>
      <c r="C20" s="10">
        <f>B20+C19</f>
        <v>192.1</v>
      </c>
      <c r="D20" s="32">
        <f>Calculator!C22</f>
        <v>12.399607966689878</v>
      </c>
      <c r="E20" s="32">
        <f>E19+D20</f>
        <v>192.39960796668984</v>
      </c>
      <c r="F20" s="10">
        <f>12+40/60</f>
        <v>12.666666666666666</v>
      </c>
      <c r="G20" s="10">
        <f>G19+F20</f>
        <v>192.66666666666663</v>
      </c>
    </row>
    <row r="21" spans="1:7" x14ac:dyDescent="0.25">
      <c r="A21" s="10">
        <v>200</v>
      </c>
      <c r="B21" s="10">
        <f>12+9/60</f>
        <v>12.15</v>
      </c>
      <c r="C21" s="10">
        <f>B21+C20</f>
        <v>204.25</v>
      </c>
      <c r="D21" s="32">
        <f>Calculator!C23</f>
        <v>12.434825808638521</v>
      </c>
      <c r="E21" s="32">
        <f>E20+D21</f>
        <v>204.83443377532836</v>
      </c>
      <c r="F21" s="10">
        <f>F18</f>
        <v>12.716666666666667</v>
      </c>
      <c r="G21" s="10">
        <f>G20+F21</f>
        <v>205.3833333333333</v>
      </c>
    </row>
    <row r="22" spans="1:7" x14ac:dyDescent="0.25">
      <c r="A22" s="10">
        <v>210</v>
      </c>
      <c r="B22" s="10">
        <f>12+13/60</f>
        <v>12.216666666666667</v>
      </c>
      <c r="C22" s="10">
        <f>B22+C21</f>
        <v>216.46666666666667</v>
      </c>
      <c r="D22" s="32">
        <f>Calculator!C24</f>
        <v>12.501488154127074</v>
      </c>
      <c r="E22" s="32">
        <f>E21+D22</f>
        <v>217.33592192945542</v>
      </c>
      <c r="F22" s="10">
        <f>F17</f>
        <v>12.75</v>
      </c>
      <c r="G22" s="10">
        <f>G21+F22</f>
        <v>218.1333333333333</v>
      </c>
    </row>
    <row r="23" spans="1:7" x14ac:dyDescent="0.25">
      <c r="A23" s="10">
        <v>220</v>
      </c>
      <c r="B23" s="10">
        <f>12+19/60</f>
        <v>12.316666666666666</v>
      </c>
      <c r="C23" s="10">
        <f>B23+C22</f>
        <v>228.78333333333333</v>
      </c>
      <c r="D23" s="32">
        <f>Calculator!C25</f>
        <v>12.594633489324938</v>
      </c>
      <c r="E23" s="32">
        <f>E22+D23</f>
        <v>229.93055541878036</v>
      </c>
      <c r="F23" s="10">
        <f>F16</f>
        <v>12.85</v>
      </c>
      <c r="G23" s="10">
        <f>G22+F23</f>
        <v>230.98333333333329</v>
      </c>
    </row>
    <row r="24" spans="1:7" x14ac:dyDescent="0.25">
      <c r="A24" s="10">
        <v>230</v>
      </c>
      <c r="B24" s="10">
        <f>12+23/60</f>
        <v>12.383333333333333</v>
      </c>
      <c r="C24" s="10">
        <f>B24+C23</f>
        <v>241.16666666666666</v>
      </c>
      <c r="D24" s="32">
        <f>Calculator!C26</f>
        <v>12.645156444262593</v>
      </c>
      <c r="E24" s="32">
        <f>E23+D24</f>
        <v>242.57571186304295</v>
      </c>
      <c r="F24" s="10">
        <f>F15</f>
        <v>12.866666666666667</v>
      </c>
      <c r="G24" s="10">
        <f>G23+F24</f>
        <v>243.84999999999997</v>
      </c>
    </row>
    <row r="25" spans="1:7" x14ac:dyDescent="0.25">
      <c r="A25" s="10">
        <v>240</v>
      </c>
      <c r="B25" s="10">
        <f>12+20/60</f>
        <v>12.333333333333334</v>
      </c>
      <c r="C25" s="10">
        <f>B25+C24</f>
        <v>253.5</v>
      </c>
      <c r="D25" s="32">
        <f>Calculator!C27</f>
        <v>12.560831503173713</v>
      </c>
      <c r="E25" s="32">
        <f>E24+D25</f>
        <v>255.13654336621667</v>
      </c>
      <c r="F25" s="10">
        <f>F14</f>
        <v>12.766666666666667</v>
      </c>
      <c r="G25" s="10">
        <f>G24+F25</f>
        <v>256.61666666666662</v>
      </c>
    </row>
    <row r="26" spans="1:7" x14ac:dyDescent="0.25">
      <c r="A26" s="10">
        <v>250</v>
      </c>
      <c r="B26" s="10">
        <f>12+12/60</f>
        <v>12.2</v>
      </c>
      <c r="C26" s="10">
        <f>B26+C25</f>
        <v>265.7</v>
      </c>
      <c r="D26" s="32">
        <f>Calculator!C28</f>
        <v>12.362428393231305</v>
      </c>
      <c r="E26" s="32">
        <f>E25+D26</f>
        <v>267.49897175944795</v>
      </c>
      <c r="F26" s="10">
        <f>F13</f>
        <v>12.5</v>
      </c>
      <c r="G26" s="10">
        <f>G25+F26</f>
        <v>269.11666666666662</v>
      </c>
    </row>
    <row r="27" spans="1:7" x14ac:dyDescent="0.25">
      <c r="A27" s="10">
        <v>260</v>
      </c>
      <c r="B27" s="10">
        <f>11+47/60</f>
        <v>11.783333333333333</v>
      </c>
      <c r="C27" s="10">
        <f>B27+C26</f>
        <v>277.48333333333335</v>
      </c>
      <c r="D27" s="32">
        <f>Calculator!C29</f>
        <v>11.947632909025213</v>
      </c>
      <c r="E27" s="32">
        <f>E26+D27</f>
        <v>279.44660466847319</v>
      </c>
      <c r="F27" s="10">
        <f>F12</f>
        <v>12.033333333333333</v>
      </c>
      <c r="G27" s="10">
        <f>G26+F27</f>
        <v>281.14999999999998</v>
      </c>
    </row>
    <row r="28" spans="1:7" x14ac:dyDescent="0.25">
      <c r="A28" s="10">
        <v>270</v>
      </c>
      <c r="B28" s="10">
        <f>11+16/60</f>
        <v>11.266666666666667</v>
      </c>
      <c r="C28" s="10">
        <f>B28+C27</f>
        <v>288.75</v>
      </c>
      <c r="D28" s="32">
        <f>Calculator!C30</f>
        <v>11.218288948548039</v>
      </c>
      <c r="E28" s="32">
        <f>E27+D28</f>
        <v>290.66489361702122</v>
      </c>
      <c r="F28" s="10">
        <f>F11</f>
        <v>11.35</v>
      </c>
      <c r="G28" s="10">
        <f>G27+F28</f>
        <v>292.5</v>
      </c>
    </row>
    <row r="29" spans="1:7" x14ac:dyDescent="0.25">
      <c r="A29" s="10">
        <v>280</v>
      </c>
      <c r="B29" s="10">
        <f>10+34/60</f>
        <v>10.566666666666666</v>
      </c>
      <c r="C29" s="10">
        <f>B29+C28</f>
        <v>299.31666666666666</v>
      </c>
      <c r="D29" s="32">
        <f>Calculator!C31</f>
        <v>10.615044384785293</v>
      </c>
      <c r="E29" s="32">
        <f>E28+D29</f>
        <v>301.2799380018065</v>
      </c>
      <c r="F29" s="10">
        <f>F10</f>
        <v>10.483333333333334</v>
      </c>
      <c r="G29" s="10">
        <f>G28+F29</f>
        <v>302.98333333333335</v>
      </c>
    </row>
    <row r="30" spans="1:7" x14ac:dyDescent="0.25">
      <c r="A30" s="10">
        <v>290</v>
      </c>
      <c r="B30" s="10">
        <f>9+47/60</f>
        <v>9.7833333333333332</v>
      </c>
      <c r="C30" s="10">
        <f>B30+C29</f>
        <v>309.10000000000002</v>
      </c>
      <c r="D30" s="32">
        <f>Calculator!C32</f>
        <v>9.6190337576414535</v>
      </c>
      <c r="E30" s="32">
        <f>E29+D30</f>
        <v>310.89897175944793</v>
      </c>
      <c r="F30" s="10">
        <f>F9</f>
        <v>9.5333333333333314</v>
      </c>
      <c r="G30" s="10">
        <f>G29+F30</f>
        <v>312.51666666666665</v>
      </c>
    </row>
    <row r="31" spans="1:7" x14ac:dyDescent="0.25">
      <c r="A31" s="10">
        <v>300</v>
      </c>
      <c r="B31" s="10">
        <f>8+56/60</f>
        <v>8.9333333333333336</v>
      </c>
      <c r="C31" s="10">
        <f>B31+C30</f>
        <v>318.03333333333336</v>
      </c>
      <c r="D31" s="32">
        <f>Calculator!C33</f>
        <v>8.770904940102028</v>
      </c>
      <c r="E31" s="32">
        <f>E30+D31</f>
        <v>319.66987669954995</v>
      </c>
      <c r="F31" s="10">
        <f>F8</f>
        <v>8.6333333333333329</v>
      </c>
      <c r="G31" s="10">
        <f>G30+F31</f>
        <v>321.14999999999998</v>
      </c>
    </row>
    <row r="32" spans="1:7" x14ac:dyDescent="0.25">
      <c r="A32" s="10">
        <v>310</v>
      </c>
      <c r="B32" s="10">
        <f>8+12/60</f>
        <v>8.1999999999999993</v>
      </c>
      <c r="C32" s="10">
        <f>B32+C31</f>
        <v>326.23333333333335</v>
      </c>
      <c r="D32" s="32">
        <f>Calculator!C34</f>
        <v>7.9725018301596222</v>
      </c>
      <c r="E32" s="32">
        <f>E31+D32</f>
        <v>327.64237852970956</v>
      </c>
      <c r="F32" s="10">
        <f>F7</f>
        <v>7.7666666666666693</v>
      </c>
      <c r="G32" s="10">
        <f>G31+F32</f>
        <v>328.91666666666663</v>
      </c>
    </row>
    <row r="33" spans="1:7" x14ac:dyDescent="0.25">
      <c r="A33" s="10">
        <v>320</v>
      </c>
      <c r="B33" s="10">
        <f>7+33/60</f>
        <v>7.55</v>
      </c>
      <c r="C33" s="10">
        <f>B33+C32</f>
        <v>333.78333333333336</v>
      </c>
      <c r="D33" s="32">
        <f>Calculator!C35</f>
        <v>7.2881768890707406</v>
      </c>
      <c r="E33" s="32">
        <f>E32+D33</f>
        <v>334.93055541878027</v>
      </c>
      <c r="F33" s="10">
        <f>F6</f>
        <v>7.0666666666666664</v>
      </c>
      <c r="G33" s="10">
        <f>G32+F33</f>
        <v>335.98333333333329</v>
      </c>
    </row>
    <row r="34" spans="1:7" x14ac:dyDescent="0.25">
      <c r="A34" s="10">
        <v>330</v>
      </c>
      <c r="B34" s="10">
        <f>7+1/60</f>
        <v>7.0166666666666666</v>
      </c>
      <c r="C34" s="10">
        <f>B34+C33</f>
        <v>340.8</v>
      </c>
      <c r="D34" s="32">
        <f>Calculator!C36</f>
        <v>6.7386998440083943</v>
      </c>
      <c r="E34" s="32">
        <f>E33+D34</f>
        <v>341.66925526278868</v>
      </c>
      <c r="F34" s="10">
        <f>F5</f>
        <v>6.4833333333333307</v>
      </c>
      <c r="G34" s="10">
        <f>G33+F34</f>
        <v>342.46666666666664</v>
      </c>
    </row>
    <row r="35" spans="1:7" x14ac:dyDescent="0.25">
      <c r="A35" s="10">
        <v>340</v>
      </c>
      <c r="B35" s="10">
        <f>6+37/60</f>
        <v>6.6166666666666671</v>
      </c>
      <c r="C35" s="10">
        <f>B35+C34</f>
        <v>347.41666666666669</v>
      </c>
      <c r="D35" s="32">
        <f>Calculator!C37</f>
        <v>6.3318451792062582</v>
      </c>
      <c r="E35" s="32">
        <f>E34+D35</f>
        <v>348.00110044199494</v>
      </c>
      <c r="F35" s="10">
        <f>F4</f>
        <v>6.0833333333333357</v>
      </c>
      <c r="G35" s="10">
        <f>G34+F35</f>
        <v>348.54999999999995</v>
      </c>
    </row>
    <row r="36" spans="1:7" x14ac:dyDescent="0.25">
      <c r="A36" s="10">
        <v>350</v>
      </c>
      <c r="B36" s="10">
        <f>6+21/60</f>
        <v>6.35</v>
      </c>
      <c r="C36" s="10">
        <f>B36+C35</f>
        <v>353.76666666666671</v>
      </c>
      <c r="D36" s="32">
        <f>Calculator!C38</f>
        <v>6.0651741913614785</v>
      </c>
      <c r="E36" s="32">
        <f>E35+D36</f>
        <v>354.06627463335644</v>
      </c>
      <c r="F36" s="10">
        <f>F3</f>
        <v>5.7833333333333323</v>
      </c>
      <c r="G36" s="10">
        <f>G35+F36</f>
        <v>354.33333333333331</v>
      </c>
    </row>
    <row r="37" spans="1:7" x14ac:dyDescent="0.25">
      <c r="A37" s="10">
        <v>360</v>
      </c>
      <c r="B37" s="10">
        <f>6+14/60</f>
        <v>6.2333333333333334</v>
      </c>
      <c r="C37" s="10">
        <f>B37+C36</f>
        <v>360.00000000000006</v>
      </c>
      <c r="D37" s="32">
        <f>Calculator!C39</f>
        <v>5.9337253666434542</v>
      </c>
      <c r="E37" s="32">
        <f>E36+D37</f>
        <v>359.99999999999989</v>
      </c>
      <c r="F37" s="10">
        <f>F2</f>
        <v>5.666666666666667</v>
      </c>
      <c r="G37" s="10">
        <f>G36+F37</f>
        <v>360</v>
      </c>
    </row>
  </sheetData>
  <sheetProtection algorithmName="SHA-512" hashValue="wnFsI1bDXI9EZrqdiPt4FBlrti10yrYXdsOgBn7L8neHbyYcEAXXAt+MG0FLhkNdiuv6T4y/HppQIU2scTjQvQ==" saltValue="pXPPkEe5s3WQEACkYnROMQ==" spinCount="100000" sheet="1" objects="1" scenarios="1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E A A B Q S w M E F A A C A A g A 4 I M 3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4 I M 3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D N 0 4 E 5 c s i n g E A A I Q G A A A T A B w A R m 9 y b X V s Y X M v U 2 V j d G l v b j E u b S C i G A A o o B Q A A A A A A A A A A A A A A A A A A A A A A A A A A A D d k 8 F q 4 z A Q h u + B v I N w L j Z Y s W O n a d m l h 5 B d 2 D 0 s F B L o I f Q w c S a x W l k K 0 m T Z E v L u K 8 W m a X f j Q 0 m g U F 9 k v p F m R v 8 / s l i Q 0 I p N 6 3 X w t d v p d m w J B p e s F 8 x g I Z G l A b t l E q n b Y e 6 b 6 q 0 p 0 J F 7 X P T v Y I 2 h / 5 l o R a j I h k F J t P m S J I 9 a / d b C 4 n N f I S U L q d d J l g 5 u k n S U g K z c M U t 8 o f U T F 5 x 8 F a 5 X X K h C C g W + E Z s E U R T X F b 8 B Q e o K 1 p V 3 6 X 7 u y U M T 7 Q V 3 R l e a X M M / E J Z o r G / 3 0 H m / i T Q 8 P C S K 2 b z B Y y m n B U g w 9 p b M F h + i l 4 y T E t T a J Z w 9 b / C Y b W Z A 2 Z U 2 1 U T L b a V 8 0 I Y n y s e 7 X T A 2 B d M r R i W y 7 + 5 S G x J F E L O f i k b D v j + 4 j 9 m b T b / Q i K U A 5 T a R C z P C P 7 T f R 9 2 O U C e b O u k T C 7 P o o l 5 d / + e V E V a o N S d R o e V A 3 G 5 K Q A P c u P m B d 3 j 2 D o V r 1 5 y m N R y 8 k c j L W P O s h e f n S J p d U s 5 B l r y S z w + 8 c 5 5 j M x 7 1 M / h 3 7 r O j h t m Z G m a X 0 v D I h y 3 8 q o W P W v h 1 C 7 8 5 x 7 v 8 o 7 3 L j 9 7 l Z 3 q X f 2 b v / g J Q S w E C L Q A U A A I A C A D g g z d O U y z U r a c A A A D 4 A A A A E g A A A A A A A A A A A A A A A A A A A A A A Q 2 9 u Z m l n L 1 B h Y 2 t h Z 2 U u e G 1 s U E s B A i 0 A F A A C A A g A 4 I M 3 T g / K 6 a u k A A A A 6 Q A A A B M A A A A A A A A A A A A A A A A A 8 w A A A F t D b 2 5 0 Z W 5 0 X 1 R 5 c G V z X S 5 4 b W x Q S w E C L Q A U A A I A C A D g g z d O B O X L I p 4 B A A C E B g A A E w A A A A A A A A A A A A A A A A D k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5 J w A A A A A A A F c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I x V D E 1 O j U 5 O j M x L j I 4 N D Y z N z R a I i A v P j x F b n R y e S B U e X B l P S J G a W x s Q 2 9 s d W 1 u V H l w Z X M i I F Z h b H V l P S J z Q X d Z P S I g L z 4 8 R W 5 0 c n k g V H l w Z T 0 i R m l s b E N v b H V t b k 5 h b W V z I i B W Y W x 1 Z T 0 i c 1 s m c X V v d D t B c m M g b 2 Y g d G h l I E V j b G l w d G l j J n F 1 b 3 Q 7 L C Z x d W 9 0 O 0 F y Y y B v Z i B 0 a G U g T W V y a W R p Y W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N o Y W 5 n Z W Q g V H l w Z S 5 7 Q X J j I G 9 m I H R o Z S B F Y 2 x p c H R p Y y w w f S Z x d W 9 0 O y w m c X V v d D t T Z W N 0 a W 9 u M S 9 U Y W J s Z S A w L 0 N o Y W 5 n Z W Q g V H l w Z S 5 7 Q X J j I G 9 m I H R o Z S B N Z X J p Z G l h b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S A w L 0 N o Y W 5 n Z W Q g V H l w Z S 5 7 Q X J j I G 9 m I H R o Z S B F Y 2 x p c H R p Y y w w f S Z x d W 9 0 O y w m c X V v d D t T Z W N 0 a W 9 u M S 9 U Y W J s Z S A w L 0 N o Y W 5 n Z W Q g V H l w Z S 5 7 Q X J j I G 9 m I H R o Z S B N Z X J p Z G l h b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w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I x V D E 3 O j U y O j E x L j Q x N T I 1 N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g K D I p L 0 N o Y W 5 n Z W Q g V H l w Z S 5 7 Q 2 9 s d W 1 u M S w w f S Z x d W 9 0 O y w m c X V v d D t T Z W N 0 a W 9 u M S 9 U Y W J s Z S A w I C g y K S 9 D a G F u Z 2 V k I F R 5 c G U u e 0 N v b H V t b j I s M X 0 m c X V v d D s s J n F 1 b 3 Q 7 U 2 V j d G l v b j E v V G F i b G U g M C A o M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A g K D I p L 0 N o Y W 5 n Z W Q g V H l w Z S 5 7 Q 2 9 s d W 1 u M S w w f S Z x d W 9 0 O y w m c X V v d D t T Z W N 0 a W 9 u M S 9 U Y W J s Z S A w I C g y K S 9 D a G F u Z 2 V k I F R 5 c G U u e 0 N v b H V t b j I s M X 0 m c X V v d D s s J n F 1 b 3 Q 7 U 2 V j d G l v b j E v V G F i b G U g M C A o M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V G F i b G U g S U k u O C I g L z 4 8 R W 5 0 c n k g V H l w Z T 0 i U m V j b 3 Z l c n l U Y X J n Z X R D b 2 x 1 b W 4 i I F Z h b H V l P S J s M T U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x h c 3 R V c G R h d G V k I i B W Y W x 1 Z T 0 i Z D I w M T k t M D E t M j N U M j I 6 M j I 6 N D E u M D Y z M T Q 3 N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N v b H V t b j E s M H 0 m c X V v d D s s J n F 1 b 3 Q 7 U 2 V j d G l v b j E v V G F i b G U g M i 9 D a G F u Z 2 V k I F R 5 c G U u e 0 N v b H V t b j I s M X 0 m c X V v d D s s J n F 1 b 3 Q 7 U 2 V j d G l v b j E v V G F i b G U g M i 9 D a G F u Z 2 V k I F R 5 c G U u e 0 N v b H V t b j M s M n 0 m c X V v d D s s J n F 1 b 3 Q 7 U 2 V j d G l v b j E v V G F i b G U g M i 9 D a G F u Z 2 V k I F R 5 c G U u e 0 N v b H V t b j Q s M 3 0 m c X V v d D s s J n F 1 b 3 Q 7 U 2 V j d G l v b j E v V G F i b G U g M i 9 D a G F u Z 2 V k I F R 5 c G U u e 0 N v b H V t b j U s N H 0 m c X V v d D s s J n F 1 b 3 Q 7 U 2 V j d G l v b j E v V G F i b G U g M i 9 D a G F u Z 2 V k I F R 5 c G U u e 0 N v b H V t b j Y s N X 0 m c X V v d D s s J n F 1 b 3 Q 7 U 2 V j d G l v b j E v V G F i b G U g M i 9 D a G F u Z 2 V k I F R 5 c G U u e 0 N v b H V t b j c s N n 0 m c X V v d D s s J n F 1 b 3 Q 7 U 2 V j d G l v b j E v V G F i b G U g M i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b G U g M i 9 D a G F u Z 2 V k I F R 5 c G U u e 0 N v b H V t b j E s M H 0 m c X V v d D s s J n F 1 b 3 Q 7 U 2 V j d G l v b j E v V G F i b G U g M i 9 D a G F u Z 2 V k I F R 5 c G U u e 0 N v b H V t b j I s M X 0 m c X V v d D s s J n F 1 b 3 Q 7 U 2 V j d G l v b j E v V G F i b G U g M i 9 D a G F u Z 2 V k I F R 5 c G U u e 0 N v b H V t b j M s M n 0 m c X V v d D s s J n F 1 b 3 Q 7 U 2 V j d G l v b j E v V G F i b G U g M i 9 D a G F u Z 2 V k I F R 5 c G U u e 0 N v b H V t b j Q s M 3 0 m c X V v d D s s J n F 1 b 3 Q 7 U 2 V j d G l v b j E v V G F i b G U g M i 9 D a G F u Z 2 V k I F R 5 c G U u e 0 N v b H V t b j U s N H 0 m c X V v d D s s J n F 1 b 3 Q 7 U 2 V j d G l v b j E v V G F i b G U g M i 9 D a G F u Z 2 V k I F R 5 c G U u e 0 N v b H V t b j Y s N X 0 m c X V v d D s s J n F 1 b 3 Q 7 U 2 V j d G l v b j E v V G F i b G U g M i 9 D a G F u Z 2 V k I F R 5 c G U u e 0 N v b H V t b j c s N n 0 m c X V v d D s s J n F 1 b 3 Q 7 U 2 V j d G l v b j E v V G F i b G U g M i 9 D a G F u Z 2 V k I F R 5 c G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U Y W J s Z S B J S S 4 4 I i A v P j x F b n R y e S B U e X B l P S J S Z W N v d m V y e V R h c m d l d E N v b H V t b i I g V m F s d W U 9 I m w y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S 0 y M 1 Q y M j o z M D o 1 M i 4 2 N j g z O T E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Q 2 9 s d W 1 u M S w w f S Z x d W 9 0 O y w m c X V v d D t T Z W N 0 a W 9 u M S 9 U Y W J s Z S A z L 0 N o Y W 5 n Z W Q g V H l w Z S 5 7 Q 2 9 s d W 1 u M i w x f S Z x d W 9 0 O y w m c X V v d D t T Z W N 0 a W 9 u M S 9 U Y W J s Z S A z L 0 N o Y W 5 n Z W Q g V H l w Z S 5 7 Q 2 9 s d W 1 u M y w y f S Z x d W 9 0 O y w m c X V v d D t T Z W N 0 a W 9 u M S 9 U Y W J s Z S A z L 0 N o Y W 5 n Z W Q g V H l w Z S 5 7 Q 2 9 s d W 1 u N C w z f S Z x d W 9 0 O y w m c X V v d D t T Z W N 0 a W 9 u M S 9 U Y W J s Z S A z L 0 N o Y W 5 n Z W Q g V H l w Z S 5 7 Q 2 9 s d W 1 u N S w 0 f S Z x d W 9 0 O y w m c X V v d D t T Z W N 0 a W 9 u M S 9 U Y W J s Z S A z L 0 N o Y W 5 n Z W Q g V H l w Z S 5 7 Q 2 9 s d W 1 u N i w 1 f S Z x d W 9 0 O y w m c X V v d D t T Z W N 0 a W 9 u M S 9 U Y W J s Z S A z L 0 N o Y W 5 n Z W Q g V H l w Z S 5 7 Q 2 9 s d W 1 u N y w 2 f S Z x d W 9 0 O y w m c X V v d D t T Z W N 0 a W 9 u M S 9 U Y W J s Z S A z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s Z S A z L 0 N o Y W 5 n Z W Q g V H l w Z S 5 7 Q 2 9 s d W 1 u M S w w f S Z x d W 9 0 O y w m c X V v d D t T Z W N 0 a W 9 u M S 9 U Y W J s Z S A z L 0 N o Y W 5 n Z W Q g V H l w Z S 5 7 Q 2 9 s d W 1 u M i w x f S Z x d W 9 0 O y w m c X V v d D t T Z W N 0 a W 9 u M S 9 U Y W J s Z S A z L 0 N o Y W 5 n Z W Q g V H l w Z S 5 7 Q 2 9 s d W 1 u M y w y f S Z x d W 9 0 O y w m c X V v d D t T Z W N 0 a W 9 u M S 9 U Y W J s Z S A z L 0 N o Y W 5 n Z W Q g V H l w Z S 5 7 Q 2 9 s d W 1 u N C w z f S Z x d W 9 0 O y w m c X V v d D t T Z W N 0 a W 9 u M S 9 U Y W J s Z S A z L 0 N o Y W 5 n Z W Q g V H l w Z S 5 7 Q 2 9 s d W 1 u N S w 0 f S Z x d W 9 0 O y w m c X V v d D t T Z W N 0 a W 9 u M S 9 U Y W J s Z S A z L 0 N o Y W 5 n Z W Q g V H l w Z S 5 7 Q 2 9 s d W 1 u N i w 1 f S Z x d W 9 0 O y w m c X V v d D t T Z W N 0 a W 9 u M S 9 U Y W J s Z S A z L 0 N o Y W 5 n Z W Q g V H l w Z S 5 7 Q 2 9 s d W 1 u N y w 2 f S Z x d W 9 0 O y w m c X V v d D t T Z W N 0 a W 9 u M S 9 U Y W J s Z S A z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x h 1 x 4 I s D 1 S 5 q 4 A n C C B X 8 n A A A A A A I A A A A A A B B m A A A A A Q A A I A A A A M 6 / z d 8 B n v + y G w 2 Z o i u B b p g z A v Z 3 D H R Z 9 s E q / j Z y P b 3 8 A A A A A A 6 A A A A A A g A A I A A A A B x N M n Z J B e z a J w q I C V F 5 4 x L z t r + v T 9 H x S + T x w M s w U q u j U A A A A H X b 8 S m X j g x U U b W Q m j g v r V e d y I V H X I Z T t y 1 o K X y T J A E + V 5 Y w n U E U o N v X B s l Z o Q r Q N I o E 6 L R I 1 s z F h E F I 6 v x N N O G a F z E U Z H o d F 5 W V n I + r S i M W Q A A A A P / M / t l o z F 7 b e g 7 v V e 5 H T f a v 9 R B F T 9 M X 5 J y d J T 2 8 F H j j J d b O X M 7 2 P Q 2 4 N u P K m w x A M F R B Y c b C P 4 a d M 4 5 8 z 0 H P Z k U = < / D a t a M a s h u p > 
</file>

<file path=customXml/itemProps1.xml><?xml version="1.0" encoding="utf-8"?>
<ds:datastoreItem xmlns:ds="http://schemas.openxmlformats.org/officeDocument/2006/customXml" ds:itemID="{98F1F63A-8C84-44E0-BF17-779F48DDB0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Calculator</vt:lpstr>
      <vt:lpstr>Solar RA</vt:lpstr>
      <vt:lpstr>Table II.6</vt:lpstr>
      <vt:lpstr>Table II.8</vt:lpstr>
      <vt:lpstr>Table I.16</vt:lpstr>
      <vt:lpstr>Table I.15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Jon's Laptop</dc:creator>
  <cp:lastModifiedBy>Voisey, Jon</cp:lastModifiedBy>
  <dcterms:created xsi:type="dcterms:W3CDTF">2019-01-21T15:52:56Z</dcterms:created>
  <dcterms:modified xsi:type="dcterms:W3CDTF">2019-02-06T14:47:44Z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01f3d3-765d-4cbc-aa57-46c8596efdda_Enabled">
    <vt:lpwstr>True</vt:lpwstr>
  </property>
  <property fmtid="{D5CDD505-2E9C-101B-9397-08002B2CF9AE}" pid="3" name="MSIP_Label_4a01f3d3-765d-4cbc-aa57-46c8596efdda_SiteId">
    <vt:lpwstr>2e8ff74d-037c-4405-b519-8e0cb3de1e85</vt:lpwstr>
  </property>
  <property fmtid="{D5CDD505-2E9C-101B-9397-08002B2CF9AE}" pid="4" name="MSIP_Label_4a01f3d3-765d-4cbc-aa57-46c8596efdda_Owner">
    <vt:lpwstr>Jon.Voisey@hussmann.com</vt:lpwstr>
  </property>
  <property fmtid="{D5CDD505-2E9C-101B-9397-08002B2CF9AE}" pid="5" name="MSIP_Label_4a01f3d3-765d-4cbc-aa57-46c8596efdda_SetDate">
    <vt:lpwstr>2019-02-06T14:02:18.5285289Z</vt:lpwstr>
  </property>
  <property fmtid="{D5CDD505-2E9C-101B-9397-08002B2CF9AE}" pid="6" name="MSIP_Label_4a01f3d3-765d-4cbc-aa57-46c8596efdda_Name">
    <vt:lpwstr>General</vt:lpwstr>
  </property>
  <property fmtid="{D5CDD505-2E9C-101B-9397-08002B2CF9AE}" pid="7" name="MSIP_Label_4a01f3d3-765d-4cbc-aa57-46c8596efdda_Application">
    <vt:lpwstr>Microsoft Azure Information Protection</vt:lpwstr>
  </property>
  <property fmtid="{D5CDD505-2E9C-101B-9397-08002B2CF9AE}" pid="8" name="MSIP_Label_4a01f3d3-765d-4cbc-aa57-46c8596efdda_Extended_MSFT_Method">
    <vt:lpwstr>Automatic</vt:lpwstr>
  </property>
  <property fmtid="{D5CDD505-2E9C-101B-9397-08002B2CF9AE}" pid="9" name="Sensitivity">
    <vt:lpwstr>General</vt:lpwstr>
  </property>
</Properties>
</file>